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comments6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cac.sharepoint.com/sites/DAC1/Shared Documents/Financials/Budget Files/2023/"/>
    </mc:Choice>
  </mc:AlternateContent>
  <xr:revisionPtr revIDLastSave="50" documentId="8_{9ABF30F3-84ED-410F-96A8-AD9F7ED0854A}" xr6:coauthVersionLast="47" xr6:coauthVersionMax="47" xr10:uidLastSave="{98704AE4-6FC9-4988-A970-264F96D1DABF}"/>
  <bookViews>
    <workbookView xWindow="28680" yWindow="-120" windowWidth="29040" windowHeight="15840" activeTab="3" xr2:uid="{910E2382-2FFD-432C-82E8-65BC79290088}"/>
  </bookViews>
  <sheets>
    <sheet name="Budget Overview" sheetId="1" r:id="rId1"/>
    <sheet name="2022 Ref" sheetId="14" r:id="rId2"/>
    <sheet name="Admin Gen" sheetId="2" r:id="rId3"/>
    <sheet name="BSF Award" sheetId="3" r:id="rId4"/>
    <sheet name="BSF Initial" sheetId="17" r:id="rId5"/>
    <sheet name="DFC" sheetId="4" r:id="rId6"/>
    <sheet name="BRAVE" sheetId="5" r:id="rId7"/>
    <sheet name="CP" sheetId="6" r:id="rId8"/>
    <sheet name="OA" sheetId="7" r:id="rId9"/>
    <sheet name="HWC" sheetId="8" r:id="rId10"/>
    <sheet name="INCARES" sheetId="9" r:id="rId11"/>
    <sheet name="MM" sheetId="10" r:id="rId12"/>
    <sheet name="SSNEI" sheetId="11" r:id="rId13"/>
    <sheet name="YTD 2022" sheetId="13" r:id="rId14"/>
  </sheets>
  <externalReferences>
    <externalReference r:id="rId15"/>
    <externalReference r:id="rId16"/>
  </externalReferences>
  <definedNames>
    <definedName name="_xlnm.Print_Area" localSheetId="0">'Budget Overview'!$A$1:$P$108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3" l="1" a="1"/>
  <c r="B34" i="3" s="1"/>
  <c r="B27" i="3"/>
  <c r="B65" i="3"/>
  <c r="B109" i="3"/>
  <c r="B103" i="3"/>
  <c r="B96" i="3"/>
  <c r="B90" i="3"/>
  <c r="B84" i="3"/>
  <c r="B76" i="3"/>
  <c r="B70" i="3"/>
  <c r="B61" i="3"/>
  <c r="B51" i="3"/>
  <c r="B46" i="3"/>
  <c r="DQ110" i="14"/>
  <c r="DP110" i="14"/>
  <c r="DK110" i="14"/>
  <c r="DM110" i="14" s="1"/>
  <c r="DJ110" i="14"/>
  <c r="DL110" i="14" s="1"/>
  <c r="DI110" i="14"/>
  <c r="DH110" i="14"/>
  <c r="DE110" i="14"/>
  <c r="DD110" i="14"/>
  <c r="CY110" i="14"/>
  <c r="DA110" i="14" s="1"/>
  <c r="CX110" i="14"/>
  <c r="CZ110" i="14" s="1"/>
  <c r="CW110" i="14"/>
  <c r="CV110" i="14"/>
  <c r="CS110" i="14"/>
  <c r="CR110" i="14"/>
  <c r="CM110" i="14"/>
  <c r="CO110" i="14" s="1"/>
  <c r="CL110" i="14"/>
  <c r="CK110" i="14"/>
  <c r="CJ110" i="14"/>
  <c r="CG110" i="14"/>
  <c r="CF110" i="14"/>
  <c r="CC110" i="14"/>
  <c r="CB110" i="14"/>
  <c r="BY110" i="14"/>
  <c r="BX110" i="14"/>
  <c r="BS110" i="14"/>
  <c r="BU110" i="14" s="1"/>
  <c r="BR110" i="14"/>
  <c r="BQ110" i="14"/>
  <c r="BP110" i="14"/>
  <c r="BM110" i="14"/>
  <c r="BL110" i="14"/>
  <c r="BI110" i="14"/>
  <c r="BH110" i="14"/>
  <c r="BE110" i="14"/>
  <c r="BD110" i="14"/>
  <c r="AY110" i="14"/>
  <c r="AX110" i="14"/>
  <c r="AW110" i="14"/>
  <c r="AV110" i="14"/>
  <c r="AS110" i="14"/>
  <c r="AR110" i="14"/>
  <c r="AO110" i="14"/>
  <c r="AN110" i="14"/>
  <c r="AK110" i="14"/>
  <c r="AJ110" i="14"/>
  <c r="AG110" i="14"/>
  <c r="AF110" i="14"/>
  <c r="AC110" i="14"/>
  <c r="AB110" i="14"/>
  <c r="Y110" i="14"/>
  <c r="X110" i="14"/>
  <c r="U110" i="14"/>
  <c r="T110" i="14"/>
  <c r="Q110" i="14"/>
  <c r="P110" i="14"/>
  <c r="M110" i="14"/>
  <c r="L110" i="14"/>
  <c r="J110" i="14"/>
  <c r="DR110" i="14" s="1"/>
  <c r="I110" i="14"/>
  <c r="H110" i="14"/>
  <c r="E110" i="14"/>
  <c r="D110" i="14"/>
  <c r="DO109" i="14"/>
  <c r="DN109" i="14"/>
  <c r="DH109" i="14"/>
  <c r="DG109" i="14"/>
  <c r="DI109" i="14" s="1"/>
  <c r="DF109" i="14"/>
  <c r="DC109" i="14"/>
  <c r="DB109" i="14"/>
  <c r="DJ109" i="14" s="1"/>
  <c r="CU109" i="14"/>
  <c r="CW109" i="14" s="1"/>
  <c r="CQ109" i="14"/>
  <c r="CS109" i="14" s="1"/>
  <c r="CM109" i="14"/>
  <c r="CO109" i="14" s="1"/>
  <c r="CI109" i="14"/>
  <c r="CK109" i="14" s="1"/>
  <c r="CH109" i="14"/>
  <c r="CE109" i="14"/>
  <c r="CG109" i="14" s="1"/>
  <c r="CA109" i="14"/>
  <c r="CC109" i="14" s="1"/>
  <c r="BP109" i="14"/>
  <c r="BO109" i="14"/>
  <c r="BQ109" i="14" s="1"/>
  <c r="BN109" i="14"/>
  <c r="BL109" i="14"/>
  <c r="BK109" i="14"/>
  <c r="BM109" i="14" s="1"/>
  <c r="BH109" i="14"/>
  <c r="BG109" i="14"/>
  <c r="BI109" i="14" s="1"/>
  <c r="BF109" i="14"/>
  <c r="AV109" i="14"/>
  <c r="AU109" i="14"/>
  <c r="AW109" i="14" s="1"/>
  <c r="AQ109" i="14"/>
  <c r="AP109" i="14"/>
  <c r="AM109" i="14"/>
  <c r="AO109" i="14" s="1"/>
  <c r="AI109" i="14"/>
  <c r="AF109" i="14"/>
  <c r="AE109" i="14"/>
  <c r="AG109" i="14" s="1"/>
  <c r="AD109" i="14"/>
  <c r="AB109" i="14"/>
  <c r="AA109" i="14"/>
  <c r="AC109" i="14" s="1"/>
  <c r="Z109" i="14"/>
  <c r="W109" i="14"/>
  <c r="S109" i="14"/>
  <c r="U109" i="14" s="1"/>
  <c r="O109" i="14"/>
  <c r="Q109" i="14" s="1"/>
  <c r="G109" i="14"/>
  <c r="DQ108" i="14"/>
  <c r="DP108" i="14"/>
  <c r="DM108" i="14"/>
  <c r="DK108" i="14"/>
  <c r="DJ108" i="14"/>
  <c r="DL108" i="14" s="1"/>
  <c r="DI108" i="14"/>
  <c r="DH108" i="14"/>
  <c r="DE108" i="14"/>
  <c r="DD108" i="14"/>
  <c r="DA108" i="14"/>
  <c r="CY108" i="14"/>
  <c r="CX108" i="14"/>
  <c r="CZ108" i="14" s="1"/>
  <c r="CW108" i="14"/>
  <c r="CV108" i="14"/>
  <c r="CT108" i="14"/>
  <c r="CS108" i="14"/>
  <c r="CR108" i="14"/>
  <c r="CP108" i="14"/>
  <c r="CM108" i="14"/>
  <c r="CL108" i="14"/>
  <c r="CK108" i="14"/>
  <c r="CJ108" i="14"/>
  <c r="CG108" i="14"/>
  <c r="CF108" i="14"/>
  <c r="CD108" i="14"/>
  <c r="CC108" i="14"/>
  <c r="CB108" i="14"/>
  <c r="BZ108" i="14"/>
  <c r="BY108" i="14"/>
  <c r="BV108" i="14"/>
  <c r="BX108" i="14" s="1"/>
  <c r="BS108" i="14"/>
  <c r="BU108" i="14" s="1"/>
  <c r="BR108" i="14"/>
  <c r="BQ108" i="14"/>
  <c r="BP108" i="14"/>
  <c r="BM108" i="14"/>
  <c r="BL108" i="14"/>
  <c r="BI108" i="14"/>
  <c r="BH108" i="14"/>
  <c r="BE108" i="14"/>
  <c r="BD108" i="14"/>
  <c r="BC108" i="14"/>
  <c r="BB108" i="14"/>
  <c r="AW108" i="14"/>
  <c r="AV108" i="14"/>
  <c r="AS108" i="14"/>
  <c r="AR108" i="14"/>
  <c r="AO108" i="14"/>
  <c r="AN108" i="14"/>
  <c r="AK108" i="14"/>
  <c r="AJ108" i="14"/>
  <c r="AG108" i="14"/>
  <c r="AF108" i="14"/>
  <c r="AC108" i="14"/>
  <c r="AB108" i="14"/>
  <c r="Y108" i="14"/>
  <c r="X108" i="14"/>
  <c r="W108" i="14"/>
  <c r="AY108" i="14" s="1"/>
  <c r="BA108" i="14" s="1"/>
  <c r="V108" i="14"/>
  <c r="AX108" i="14" s="1"/>
  <c r="AZ108" i="14" s="1"/>
  <c r="U108" i="14"/>
  <c r="T108" i="14"/>
  <c r="R108" i="14"/>
  <c r="Q108" i="14"/>
  <c r="P108" i="14"/>
  <c r="M108" i="14"/>
  <c r="K108" i="14"/>
  <c r="J108" i="14"/>
  <c r="L108" i="14" s="1"/>
  <c r="I108" i="14"/>
  <c r="H108" i="14"/>
  <c r="G108" i="14"/>
  <c r="F108" i="14"/>
  <c r="E108" i="14"/>
  <c r="D108" i="14"/>
  <c r="C108" i="14"/>
  <c r="B108" i="14"/>
  <c r="DQ107" i="14"/>
  <c r="DP107" i="14"/>
  <c r="DL107" i="14"/>
  <c r="DK107" i="14"/>
  <c r="DM107" i="14" s="1"/>
  <c r="DJ107" i="14"/>
  <c r="DI107" i="14"/>
  <c r="DH107" i="14"/>
  <c r="DE107" i="14"/>
  <c r="DD107" i="14"/>
  <c r="CY107" i="14"/>
  <c r="DA107" i="14" s="1"/>
  <c r="CW107" i="14"/>
  <c r="CT107" i="14"/>
  <c r="CS107" i="14"/>
  <c r="CP107" i="14"/>
  <c r="CR107" i="14" s="1"/>
  <c r="CO107" i="14"/>
  <c r="CM107" i="14"/>
  <c r="CK107" i="14"/>
  <c r="CJ107" i="14"/>
  <c r="CG107" i="14"/>
  <c r="CD107" i="14"/>
  <c r="CC107" i="14"/>
  <c r="BZ107" i="14"/>
  <c r="CB107" i="14" s="1"/>
  <c r="BY107" i="14"/>
  <c r="BX107" i="14"/>
  <c r="BV107" i="14"/>
  <c r="BQ107" i="14"/>
  <c r="BP107" i="14"/>
  <c r="BM107" i="14"/>
  <c r="BL107" i="14"/>
  <c r="BI107" i="14"/>
  <c r="BH107" i="14"/>
  <c r="BC107" i="14"/>
  <c r="BE107" i="14" s="1"/>
  <c r="BB107" i="14"/>
  <c r="AX107" i="14"/>
  <c r="AZ107" i="14" s="1"/>
  <c r="AW107" i="14"/>
  <c r="AV107" i="14"/>
  <c r="AS107" i="14"/>
  <c r="AR107" i="14"/>
  <c r="AO107" i="14"/>
  <c r="AN107" i="14"/>
  <c r="AK107" i="14"/>
  <c r="AJ107" i="14"/>
  <c r="AG107" i="14"/>
  <c r="AF107" i="14"/>
  <c r="AC107" i="14"/>
  <c r="AB107" i="14"/>
  <c r="Y107" i="14"/>
  <c r="W107" i="14"/>
  <c r="AY107" i="14" s="1"/>
  <c r="V107" i="14"/>
  <c r="X107" i="14" s="1"/>
  <c r="U107" i="14"/>
  <c r="R107" i="14"/>
  <c r="T107" i="14" s="1"/>
  <c r="Q107" i="14"/>
  <c r="P107" i="14"/>
  <c r="N107" i="14"/>
  <c r="N109" i="14" s="1"/>
  <c r="P109" i="14" s="1"/>
  <c r="M107" i="14"/>
  <c r="K107" i="14"/>
  <c r="J107" i="14"/>
  <c r="I107" i="14"/>
  <c r="H107" i="14"/>
  <c r="E107" i="14"/>
  <c r="B107" i="14"/>
  <c r="DQ106" i="14"/>
  <c r="DP106" i="14"/>
  <c r="DK106" i="14"/>
  <c r="DM106" i="14" s="1"/>
  <c r="DJ106" i="14"/>
  <c r="DL106" i="14" s="1"/>
  <c r="DI106" i="14"/>
  <c r="DH106" i="14"/>
  <c r="DE106" i="14"/>
  <c r="DD106" i="14"/>
  <c r="CY106" i="14"/>
  <c r="DA106" i="14" s="1"/>
  <c r="CW106" i="14"/>
  <c r="CV106" i="14"/>
  <c r="CT106" i="14"/>
  <c r="CS106" i="14"/>
  <c r="CP106" i="14"/>
  <c r="CM106" i="14"/>
  <c r="CO106" i="14" s="1"/>
  <c r="CL106" i="14"/>
  <c r="CK106" i="14"/>
  <c r="CJ106" i="14"/>
  <c r="CG106" i="14"/>
  <c r="CF106" i="14"/>
  <c r="CD106" i="14"/>
  <c r="CC106" i="14"/>
  <c r="CB106" i="14"/>
  <c r="BZ106" i="14"/>
  <c r="BZ109" i="14" s="1"/>
  <c r="CB109" i="14" s="1"/>
  <c r="BW106" i="14"/>
  <c r="BV106" i="14"/>
  <c r="BS106" i="14"/>
  <c r="BQ106" i="14"/>
  <c r="BP106" i="14"/>
  <c r="BM106" i="14"/>
  <c r="BL106" i="14"/>
  <c r="BJ106" i="14"/>
  <c r="BJ109" i="14" s="1"/>
  <c r="BI106" i="14"/>
  <c r="BH106" i="14"/>
  <c r="BC106" i="14"/>
  <c r="BB106" i="14"/>
  <c r="AW106" i="14"/>
  <c r="AV106" i="14"/>
  <c r="AT106" i="14"/>
  <c r="AT109" i="14" s="1"/>
  <c r="AS106" i="14"/>
  <c r="AR106" i="14"/>
  <c r="AO106" i="14"/>
  <c r="AL106" i="14"/>
  <c r="AK106" i="14"/>
  <c r="AJ106" i="14"/>
  <c r="AH106" i="14"/>
  <c r="AH109" i="14" s="1"/>
  <c r="AG106" i="14"/>
  <c r="AF106" i="14"/>
  <c r="AC106" i="14"/>
  <c r="AB106" i="14"/>
  <c r="Y106" i="14"/>
  <c r="X106" i="14"/>
  <c r="W106" i="14"/>
  <c r="AY106" i="14" s="1"/>
  <c r="V106" i="14"/>
  <c r="V109" i="14" s="1"/>
  <c r="U106" i="14"/>
  <c r="T106" i="14"/>
  <c r="R106" i="14"/>
  <c r="Q106" i="14"/>
  <c r="P106" i="14"/>
  <c r="K106" i="14"/>
  <c r="K109" i="14" s="1"/>
  <c r="J106" i="14"/>
  <c r="I106" i="14"/>
  <c r="G106" i="14"/>
  <c r="F106" i="14"/>
  <c r="E106" i="14"/>
  <c r="C106" i="14"/>
  <c r="B106" i="14"/>
  <c r="DR105" i="14"/>
  <c r="DQ105" i="14"/>
  <c r="DN105" i="14"/>
  <c r="DP105" i="14" s="1"/>
  <c r="DM105" i="14"/>
  <c r="DL105" i="14"/>
  <c r="DK105" i="14"/>
  <c r="DJ105" i="14"/>
  <c r="DI105" i="14"/>
  <c r="DH105" i="14"/>
  <c r="DE105" i="14"/>
  <c r="DD105" i="14"/>
  <c r="DA105" i="14"/>
  <c r="CZ105" i="14"/>
  <c r="CY105" i="14"/>
  <c r="CX105" i="14"/>
  <c r="CW105" i="14"/>
  <c r="CV105" i="14"/>
  <c r="CS105" i="14"/>
  <c r="CR105" i="14"/>
  <c r="CO105" i="14"/>
  <c r="CN105" i="14"/>
  <c r="CM105" i="14"/>
  <c r="CL105" i="14"/>
  <c r="CK105" i="14"/>
  <c r="CJ105" i="14"/>
  <c r="CG105" i="14"/>
  <c r="CF105" i="14"/>
  <c r="CC105" i="14"/>
  <c r="CB105" i="14"/>
  <c r="BY105" i="14"/>
  <c r="BX105" i="14"/>
  <c r="BU105" i="14"/>
  <c r="BT105" i="14"/>
  <c r="BS105" i="14"/>
  <c r="BR105" i="14"/>
  <c r="BQ105" i="14"/>
  <c r="BP105" i="14"/>
  <c r="BM105" i="14"/>
  <c r="BL105" i="14"/>
  <c r="BI105" i="14"/>
  <c r="BH105" i="14"/>
  <c r="BE105" i="14"/>
  <c r="BD105" i="14"/>
  <c r="BA105" i="14"/>
  <c r="AZ105" i="14"/>
  <c r="AY105" i="14"/>
  <c r="DS105" i="14" s="1"/>
  <c r="DU105" i="14" s="1"/>
  <c r="AX105" i="14"/>
  <c r="AW105" i="14"/>
  <c r="AV105" i="14"/>
  <c r="AS105" i="14"/>
  <c r="AR105" i="14"/>
  <c r="AO105" i="14"/>
  <c r="AN105" i="14"/>
  <c r="AK105" i="14"/>
  <c r="AJ105" i="14"/>
  <c r="AG105" i="14"/>
  <c r="AF105" i="14"/>
  <c r="AC105" i="14"/>
  <c r="AB105" i="14"/>
  <c r="Y105" i="14"/>
  <c r="X105" i="14"/>
  <c r="U105" i="14"/>
  <c r="T105" i="14"/>
  <c r="Q105" i="14"/>
  <c r="P105" i="14"/>
  <c r="M105" i="14"/>
  <c r="L105" i="14"/>
  <c r="I105" i="14"/>
  <c r="H105" i="14"/>
  <c r="E105" i="14"/>
  <c r="B105" i="14"/>
  <c r="D105" i="14" s="1"/>
  <c r="DQ104" i="14"/>
  <c r="DP104" i="14"/>
  <c r="DK104" i="14"/>
  <c r="DJ104" i="14"/>
  <c r="DI104" i="14"/>
  <c r="DH104" i="14"/>
  <c r="DE104" i="14"/>
  <c r="DD104" i="14"/>
  <c r="DB104" i="14"/>
  <c r="DA104" i="14"/>
  <c r="CZ104" i="14"/>
  <c r="CY104" i="14"/>
  <c r="CX104" i="14"/>
  <c r="CW104" i="14"/>
  <c r="CV104" i="14"/>
  <c r="CS104" i="14"/>
  <c r="CR104" i="14"/>
  <c r="CO104" i="14"/>
  <c r="CN104" i="14"/>
  <c r="CM104" i="14"/>
  <c r="CL104" i="14"/>
  <c r="CK104" i="14"/>
  <c r="CJ104" i="14"/>
  <c r="CG104" i="14"/>
  <c r="CF104" i="14"/>
  <c r="CC104" i="14"/>
  <c r="CB104" i="14"/>
  <c r="BZ104" i="14"/>
  <c r="BY104" i="14"/>
  <c r="BX104" i="14"/>
  <c r="BU104" i="14"/>
  <c r="BS104" i="14"/>
  <c r="BR104" i="14"/>
  <c r="BT104" i="14" s="1"/>
  <c r="BQ104" i="14"/>
  <c r="BP104" i="14"/>
  <c r="BM104" i="14"/>
  <c r="BL104" i="14"/>
  <c r="BI104" i="14"/>
  <c r="BH104" i="14"/>
  <c r="BE104" i="14"/>
  <c r="BD104" i="14"/>
  <c r="BA104" i="14"/>
  <c r="AY104" i="14"/>
  <c r="DS104" i="14" s="1"/>
  <c r="DU104" i="14" s="1"/>
  <c r="AX104" i="14"/>
  <c r="AZ104" i="14" s="1"/>
  <c r="AW104" i="14"/>
  <c r="AV104" i="14"/>
  <c r="AS104" i="14"/>
  <c r="AR104" i="14"/>
  <c r="AO104" i="14"/>
  <c r="AN104" i="14"/>
  <c r="AK104" i="14"/>
  <c r="AJ104" i="14"/>
  <c r="AG104" i="14"/>
  <c r="AF104" i="14"/>
  <c r="AC104" i="14"/>
  <c r="AB104" i="14"/>
  <c r="Y104" i="14"/>
  <c r="X104" i="14"/>
  <c r="U104" i="14"/>
  <c r="T104" i="14"/>
  <c r="R104" i="14"/>
  <c r="Q104" i="14"/>
  <c r="P104" i="14"/>
  <c r="M104" i="14"/>
  <c r="L104" i="14"/>
  <c r="I104" i="14"/>
  <c r="H104" i="14"/>
  <c r="E104" i="14"/>
  <c r="D104" i="14"/>
  <c r="B104" i="14"/>
  <c r="DO103" i="14"/>
  <c r="DQ103" i="14" s="1"/>
  <c r="DN103" i="14"/>
  <c r="DG103" i="14"/>
  <c r="DF103" i="14"/>
  <c r="DC103" i="14"/>
  <c r="DE103" i="14" s="1"/>
  <c r="CU103" i="14"/>
  <c r="CQ103" i="14"/>
  <c r="CI103" i="14"/>
  <c r="CK103" i="14" s="1"/>
  <c r="CE103" i="14"/>
  <c r="CG103" i="14" s="1"/>
  <c r="CB103" i="14"/>
  <c r="CA103" i="14"/>
  <c r="CC103" i="14" s="1"/>
  <c r="BW103" i="14"/>
  <c r="BS103" i="14"/>
  <c r="BO103" i="14"/>
  <c r="BQ103" i="14" s="1"/>
  <c r="BN103" i="14"/>
  <c r="BK103" i="14"/>
  <c r="BM103" i="14" s="1"/>
  <c r="BG103" i="14"/>
  <c r="BF103" i="14"/>
  <c r="AU103" i="14"/>
  <c r="AW103" i="14" s="1"/>
  <c r="AT103" i="14"/>
  <c r="AR103" i="14"/>
  <c r="AQ103" i="14"/>
  <c r="AS103" i="14" s="1"/>
  <c r="AP103" i="14"/>
  <c r="AM103" i="14"/>
  <c r="AL103" i="14"/>
  <c r="AI103" i="14"/>
  <c r="AH103" i="14"/>
  <c r="AE103" i="14"/>
  <c r="AG103" i="14" s="1"/>
  <c r="AD103" i="14"/>
  <c r="AB103" i="14"/>
  <c r="AA103" i="14"/>
  <c r="AC103" i="14" s="1"/>
  <c r="Z103" i="14"/>
  <c r="W103" i="14"/>
  <c r="S103" i="14"/>
  <c r="U103" i="14" s="1"/>
  <c r="P103" i="14"/>
  <c r="O103" i="14"/>
  <c r="Q103" i="14" s="1"/>
  <c r="N103" i="14"/>
  <c r="C103" i="14"/>
  <c r="DQ102" i="14"/>
  <c r="DP102" i="14"/>
  <c r="DM102" i="14"/>
  <c r="DK102" i="14"/>
  <c r="DI102" i="14"/>
  <c r="DH102" i="14"/>
  <c r="DE102" i="14"/>
  <c r="DB102" i="14"/>
  <c r="CY102" i="14"/>
  <c r="DA102" i="14" s="1"/>
  <c r="CX102" i="14"/>
  <c r="CW102" i="14"/>
  <c r="CV102" i="14"/>
  <c r="CS102" i="14"/>
  <c r="CR102" i="14"/>
  <c r="CM102" i="14"/>
  <c r="CO102" i="14" s="1"/>
  <c r="CL102" i="14"/>
  <c r="CN102" i="14" s="1"/>
  <c r="CK102" i="14"/>
  <c r="CJ102" i="14"/>
  <c r="CG102" i="14"/>
  <c r="CF102" i="14"/>
  <c r="CC102" i="14"/>
  <c r="CB102" i="14"/>
  <c r="BY102" i="14"/>
  <c r="BX102" i="14"/>
  <c r="BS102" i="14"/>
  <c r="BU102" i="14" s="1"/>
  <c r="BR102" i="14"/>
  <c r="BQ102" i="14"/>
  <c r="BP102" i="14"/>
  <c r="BM102" i="14"/>
  <c r="BL102" i="14"/>
  <c r="BJ102" i="14"/>
  <c r="BI102" i="14"/>
  <c r="BH102" i="14"/>
  <c r="BE102" i="14"/>
  <c r="BD102" i="14"/>
  <c r="BC102" i="14"/>
  <c r="BA102" i="14"/>
  <c r="AX102" i="14"/>
  <c r="AW102" i="14"/>
  <c r="AV102" i="14"/>
  <c r="AS102" i="14"/>
  <c r="AR102" i="14"/>
  <c r="AO102" i="14"/>
  <c r="AN102" i="14"/>
  <c r="AK102" i="14"/>
  <c r="AJ102" i="14"/>
  <c r="AG102" i="14"/>
  <c r="AF102" i="14"/>
  <c r="AC102" i="14"/>
  <c r="AB102" i="14"/>
  <c r="Y102" i="14"/>
  <c r="X102" i="14"/>
  <c r="W102" i="14"/>
  <c r="AY102" i="14" s="1"/>
  <c r="AZ102" i="14" s="1"/>
  <c r="U102" i="14"/>
  <c r="T102" i="14"/>
  <c r="Q102" i="14"/>
  <c r="P102" i="14"/>
  <c r="M102" i="14"/>
  <c r="L102" i="14"/>
  <c r="J102" i="14"/>
  <c r="G102" i="14"/>
  <c r="F102" i="14"/>
  <c r="H102" i="14" s="1"/>
  <c r="C102" i="14"/>
  <c r="B102" i="14"/>
  <c r="DQ101" i="14"/>
  <c r="DP101" i="14"/>
  <c r="DM101" i="14"/>
  <c r="DK101" i="14"/>
  <c r="DI101" i="14"/>
  <c r="DH101" i="14"/>
  <c r="DE101" i="14"/>
  <c r="DB101" i="14"/>
  <c r="DA101" i="14"/>
  <c r="CY101" i="14"/>
  <c r="CX101" i="14"/>
  <c r="CZ101" i="14" s="1"/>
  <c r="CW101" i="14"/>
  <c r="CV101" i="14"/>
  <c r="CT101" i="14"/>
  <c r="CS101" i="14"/>
  <c r="CR101" i="14"/>
  <c r="CM101" i="14"/>
  <c r="CO101" i="14" s="1"/>
  <c r="CL101" i="14"/>
  <c r="CK101" i="14"/>
  <c r="CJ101" i="14"/>
  <c r="CG101" i="14"/>
  <c r="CF101" i="14"/>
  <c r="CC101" i="14"/>
  <c r="CB101" i="14"/>
  <c r="BY101" i="14"/>
  <c r="BX101" i="14"/>
  <c r="BS101" i="14"/>
  <c r="BR101" i="14"/>
  <c r="BT101" i="14" s="1"/>
  <c r="BQ101" i="14"/>
  <c r="BP101" i="14"/>
  <c r="BM101" i="14"/>
  <c r="BL101" i="14"/>
  <c r="BI101" i="14"/>
  <c r="BH101" i="14"/>
  <c r="BE101" i="14"/>
  <c r="BD101" i="14"/>
  <c r="BC101" i="14"/>
  <c r="AY101" i="14"/>
  <c r="BA101" i="14" s="1"/>
  <c r="AX101" i="14"/>
  <c r="AW101" i="14"/>
  <c r="AV101" i="14"/>
  <c r="AS101" i="14"/>
  <c r="AR101" i="14"/>
  <c r="AO101" i="14"/>
  <c r="AN101" i="14"/>
  <c r="AK101" i="14"/>
  <c r="AJ101" i="14"/>
  <c r="AG101" i="14"/>
  <c r="AF101" i="14"/>
  <c r="AC101" i="14"/>
  <c r="AB101" i="14"/>
  <c r="X101" i="14"/>
  <c r="W101" i="14"/>
  <c r="Y101" i="14" s="1"/>
  <c r="U101" i="14"/>
  <c r="T101" i="14"/>
  <c r="Q101" i="14"/>
  <c r="P101" i="14"/>
  <c r="K101" i="14"/>
  <c r="J101" i="14"/>
  <c r="I101" i="14"/>
  <c r="H101" i="14"/>
  <c r="E101" i="14"/>
  <c r="D101" i="14"/>
  <c r="C101" i="14"/>
  <c r="B101" i="14"/>
  <c r="DQ100" i="14"/>
  <c r="DP100" i="14"/>
  <c r="DK100" i="14"/>
  <c r="DM100" i="14" s="1"/>
  <c r="DJ100" i="14"/>
  <c r="DL100" i="14" s="1"/>
  <c r="DI100" i="14"/>
  <c r="DH100" i="14"/>
  <c r="DE100" i="14"/>
  <c r="DD100" i="14"/>
  <c r="CY100" i="14"/>
  <c r="DA100" i="14" s="1"/>
  <c r="CX100" i="14"/>
  <c r="CW100" i="14"/>
  <c r="CV100" i="14"/>
  <c r="CS100" i="14"/>
  <c r="CR100" i="14"/>
  <c r="CM100" i="14"/>
  <c r="CO100" i="14" s="1"/>
  <c r="CL100" i="14"/>
  <c r="CN100" i="14" s="1"/>
  <c r="CK100" i="14"/>
  <c r="CJ100" i="14"/>
  <c r="CG100" i="14"/>
  <c r="CF100" i="14"/>
  <c r="CC100" i="14"/>
  <c r="BZ100" i="14"/>
  <c r="CB100" i="14" s="1"/>
  <c r="BY100" i="14"/>
  <c r="BX100" i="14"/>
  <c r="BV100" i="14"/>
  <c r="BU100" i="14"/>
  <c r="BS100" i="14"/>
  <c r="BQ100" i="14"/>
  <c r="BP100" i="14"/>
  <c r="BM100" i="14"/>
  <c r="BJ100" i="14"/>
  <c r="BI100" i="14"/>
  <c r="BH100" i="14"/>
  <c r="BE100" i="14"/>
  <c r="BB100" i="14"/>
  <c r="AY100" i="14"/>
  <c r="BA100" i="14" s="1"/>
  <c r="AX100" i="14"/>
  <c r="AZ100" i="14" s="1"/>
  <c r="AW100" i="14"/>
  <c r="AV100" i="14"/>
  <c r="AS100" i="14"/>
  <c r="AR100" i="14"/>
  <c r="AO100" i="14"/>
  <c r="AN100" i="14"/>
  <c r="AK100" i="14"/>
  <c r="AJ100" i="14"/>
  <c r="AG100" i="14"/>
  <c r="AF100" i="14"/>
  <c r="AC100" i="14"/>
  <c r="AB100" i="14"/>
  <c r="Y100" i="14"/>
  <c r="X100" i="14"/>
  <c r="U100" i="14"/>
  <c r="T100" i="14"/>
  <c r="R100" i="14"/>
  <c r="Q100" i="14"/>
  <c r="P100" i="14"/>
  <c r="M100" i="14"/>
  <c r="L100" i="14"/>
  <c r="J100" i="14"/>
  <c r="I100" i="14"/>
  <c r="H100" i="14"/>
  <c r="C100" i="14"/>
  <c r="B100" i="14"/>
  <c r="DQ99" i="14"/>
  <c r="DP99" i="14"/>
  <c r="DM99" i="14"/>
  <c r="DK99" i="14"/>
  <c r="DI99" i="14"/>
  <c r="DH99" i="14"/>
  <c r="DE99" i="14"/>
  <c r="DB99" i="14"/>
  <c r="DA99" i="14"/>
  <c r="CY99" i="14"/>
  <c r="CX99" i="14"/>
  <c r="CZ99" i="14" s="1"/>
  <c r="CW99" i="14"/>
  <c r="CV99" i="14"/>
  <c r="CT99" i="14"/>
  <c r="CS99" i="14"/>
  <c r="CR99" i="14"/>
  <c r="CP99" i="14"/>
  <c r="CM99" i="14"/>
  <c r="CO99" i="14" s="1"/>
  <c r="CL99" i="14"/>
  <c r="CK99" i="14"/>
  <c r="CJ99" i="14"/>
  <c r="CG99" i="14"/>
  <c r="CF99" i="14"/>
  <c r="CD99" i="14"/>
  <c r="CC99" i="14"/>
  <c r="CB99" i="14"/>
  <c r="BZ99" i="14"/>
  <c r="BY99" i="14"/>
  <c r="BV99" i="14"/>
  <c r="BX99" i="14" s="1"/>
  <c r="BS99" i="14"/>
  <c r="BU99" i="14" s="1"/>
  <c r="BR99" i="14"/>
  <c r="BQ99" i="14"/>
  <c r="BP99" i="14"/>
  <c r="BM99" i="14"/>
  <c r="BL99" i="14"/>
  <c r="BI99" i="14"/>
  <c r="BH99" i="14"/>
  <c r="BE99" i="14"/>
  <c r="BD99" i="14"/>
  <c r="BB99" i="14"/>
  <c r="AY99" i="14"/>
  <c r="AW99" i="14"/>
  <c r="AV99" i="14"/>
  <c r="AS99" i="14"/>
  <c r="AR99" i="14"/>
  <c r="AO99" i="14"/>
  <c r="AN99" i="14"/>
  <c r="AK99" i="14"/>
  <c r="AJ99" i="14"/>
  <c r="AG99" i="14"/>
  <c r="AF99" i="14"/>
  <c r="AC99" i="14"/>
  <c r="AB99" i="14"/>
  <c r="Y99" i="14"/>
  <c r="V99" i="14"/>
  <c r="AX99" i="14" s="1"/>
  <c r="U99" i="14"/>
  <c r="R99" i="14"/>
  <c r="Q99" i="14"/>
  <c r="P99" i="14"/>
  <c r="M99" i="14"/>
  <c r="L99" i="14"/>
  <c r="J99" i="14"/>
  <c r="I99" i="14"/>
  <c r="H99" i="14"/>
  <c r="E99" i="14"/>
  <c r="D99" i="14"/>
  <c r="B99" i="14"/>
  <c r="DQ98" i="14"/>
  <c r="DP98" i="14"/>
  <c r="DM98" i="14"/>
  <c r="DK98" i="14"/>
  <c r="DJ98" i="14"/>
  <c r="DL98" i="14" s="1"/>
  <c r="DI98" i="14"/>
  <c r="DH98" i="14"/>
  <c r="DE98" i="14"/>
  <c r="DD98" i="14"/>
  <c r="DA98" i="14"/>
  <c r="CY98" i="14"/>
  <c r="CX98" i="14"/>
  <c r="CZ98" i="14" s="1"/>
  <c r="CW98" i="14"/>
  <c r="CV98" i="14"/>
  <c r="CT98" i="14"/>
  <c r="CS98" i="14"/>
  <c r="CR98" i="14"/>
  <c r="CP98" i="14"/>
  <c r="CM98" i="14"/>
  <c r="CO98" i="14" s="1"/>
  <c r="CL98" i="14"/>
  <c r="CK98" i="14"/>
  <c r="CJ98" i="14"/>
  <c r="CG98" i="14"/>
  <c r="CF98" i="14"/>
  <c r="CD98" i="14"/>
  <c r="CC98" i="14"/>
  <c r="CB98" i="14"/>
  <c r="BZ98" i="14"/>
  <c r="BY98" i="14"/>
  <c r="BV98" i="14"/>
  <c r="BX98" i="14" s="1"/>
  <c r="BS98" i="14"/>
  <c r="BU98" i="14" s="1"/>
  <c r="BR98" i="14"/>
  <c r="BT98" i="14" s="1"/>
  <c r="BQ98" i="14"/>
  <c r="BP98" i="14"/>
  <c r="BM98" i="14"/>
  <c r="BL98" i="14"/>
  <c r="BI98" i="14"/>
  <c r="BH98" i="14"/>
  <c r="BE98" i="14"/>
  <c r="BD98" i="14"/>
  <c r="BB98" i="14"/>
  <c r="AY98" i="14"/>
  <c r="BA98" i="14" s="1"/>
  <c r="AW98" i="14"/>
  <c r="AV98" i="14"/>
  <c r="AS98" i="14"/>
  <c r="AR98" i="14"/>
  <c r="AO98" i="14"/>
  <c r="AN98" i="14"/>
  <c r="AK98" i="14"/>
  <c r="AJ98" i="14"/>
  <c r="AG98" i="14"/>
  <c r="AF98" i="14"/>
  <c r="AC98" i="14"/>
  <c r="AB98" i="14"/>
  <c r="Y98" i="14"/>
  <c r="V98" i="14"/>
  <c r="AX98" i="14" s="1"/>
  <c r="AZ98" i="14" s="1"/>
  <c r="U98" i="14"/>
  <c r="R98" i="14"/>
  <c r="T98" i="14" s="1"/>
  <c r="Q98" i="14"/>
  <c r="P98" i="14"/>
  <c r="K98" i="14"/>
  <c r="M98" i="14" s="1"/>
  <c r="J98" i="14"/>
  <c r="I98" i="14"/>
  <c r="H98" i="14"/>
  <c r="C98" i="14"/>
  <c r="B98" i="14"/>
  <c r="DR97" i="14"/>
  <c r="DQ97" i="14"/>
  <c r="DP97" i="14"/>
  <c r="DK97" i="14"/>
  <c r="DM97" i="14" s="1"/>
  <c r="DJ97" i="14"/>
  <c r="DI97" i="14"/>
  <c r="DH97" i="14"/>
  <c r="DE97" i="14"/>
  <c r="DD97" i="14"/>
  <c r="CZ97" i="14"/>
  <c r="CY97" i="14"/>
  <c r="DA97" i="14" s="1"/>
  <c r="CX97" i="14"/>
  <c r="CW97" i="14"/>
  <c r="CV97" i="14"/>
  <c r="CS97" i="14"/>
  <c r="CR97" i="14"/>
  <c r="CM97" i="14"/>
  <c r="CO97" i="14" s="1"/>
  <c r="CL97" i="14"/>
  <c r="CK97" i="14"/>
  <c r="CJ97" i="14"/>
  <c r="CG97" i="14"/>
  <c r="CF97" i="14"/>
  <c r="CC97" i="14"/>
  <c r="CB97" i="14"/>
  <c r="BY97" i="14"/>
  <c r="BX97" i="14"/>
  <c r="BS97" i="14"/>
  <c r="BR97" i="14"/>
  <c r="BQ97" i="14"/>
  <c r="BP97" i="14"/>
  <c r="BM97" i="14"/>
  <c r="BL97" i="14"/>
  <c r="BI97" i="14"/>
  <c r="BH97" i="14"/>
  <c r="BE97" i="14"/>
  <c r="BD97" i="14"/>
  <c r="AY97" i="14"/>
  <c r="BA97" i="14" s="1"/>
  <c r="AX97" i="14"/>
  <c r="AW97" i="14"/>
  <c r="AV97" i="14"/>
  <c r="AS97" i="14"/>
  <c r="AR97" i="14"/>
  <c r="AO97" i="14"/>
  <c r="AN97" i="14"/>
  <c r="AK97" i="14"/>
  <c r="AJ97" i="14"/>
  <c r="AG97" i="14"/>
  <c r="AF97" i="14"/>
  <c r="AC97" i="14"/>
  <c r="AB97" i="14"/>
  <c r="Y97" i="14"/>
  <c r="X97" i="14"/>
  <c r="U97" i="14"/>
  <c r="T97" i="14"/>
  <c r="Q97" i="14"/>
  <c r="P97" i="14"/>
  <c r="M97" i="14"/>
  <c r="L97" i="14"/>
  <c r="K97" i="14"/>
  <c r="I97" i="14"/>
  <c r="H97" i="14"/>
  <c r="G97" i="14"/>
  <c r="E97" i="14"/>
  <c r="D97" i="14"/>
  <c r="DQ96" i="14"/>
  <c r="DP96" i="14"/>
  <c r="DK96" i="14"/>
  <c r="DJ96" i="14"/>
  <c r="DI96" i="14"/>
  <c r="DH96" i="14"/>
  <c r="DE96" i="14"/>
  <c r="DD96" i="14"/>
  <c r="DB96" i="14"/>
  <c r="CW96" i="14"/>
  <c r="CV96" i="14"/>
  <c r="CU96" i="14"/>
  <c r="CY96" i="14" s="1"/>
  <c r="CT96" i="14"/>
  <c r="CT103" i="14" s="1"/>
  <c r="CV103" i="14" s="1"/>
  <c r="CS96" i="14"/>
  <c r="CR96" i="14"/>
  <c r="CP96" i="14"/>
  <c r="CP103" i="14" s="1"/>
  <c r="CM96" i="14"/>
  <c r="CO96" i="14" s="1"/>
  <c r="CK96" i="14"/>
  <c r="CH96" i="14"/>
  <c r="CG96" i="14"/>
  <c r="CD96" i="14"/>
  <c r="CC96" i="14"/>
  <c r="CB96" i="14"/>
  <c r="BZ96" i="14"/>
  <c r="BZ103" i="14" s="1"/>
  <c r="BY96" i="14"/>
  <c r="BX96" i="14"/>
  <c r="BW96" i="14"/>
  <c r="BV96" i="14"/>
  <c r="BQ96" i="14"/>
  <c r="BP96" i="14"/>
  <c r="BM96" i="14"/>
  <c r="BL96" i="14"/>
  <c r="BI96" i="14"/>
  <c r="BH96" i="14"/>
  <c r="BC96" i="14"/>
  <c r="BC103" i="14" s="1"/>
  <c r="BB96" i="14"/>
  <c r="AY96" i="14"/>
  <c r="BA96" i="14" s="1"/>
  <c r="AX96" i="14"/>
  <c r="AW96" i="14"/>
  <c r="AV96" i="14"/>
  <c r="AS96" i="14"/>
  <c r="AR96" i="14"/>
  <c r="AO96" i="14"/>
  <c r="AN96" i="14"/>
  <c r="AK96" i="14"/>
  <c r="AJ96" i="14"/>
  <c r="AG96" i="14"/>
  <c r="AF96" i="14"/>
  <c r="AC96" i="14"/>
  <c r="AB96" i="14"/>
  <c r="W96" i="14"/>
  <c r="V96" i="14"/>
  <c r="U96" i="14"/>
  <c r="R96" i="14"/>
  <c r="Q96" i="14"/>
  <c r="P96" i="14"/>
  <c r="L96" i="14"/>
  <c r="K96" i="14"/>
  <c r="J96" i="14"/>
  <c r="G96" i="14"/>
  <c r="F96" i="14"/>
  <c r="F103" i="14" s="1"/>
  <c r="E96" i="14"/>
  <c r="B96" i="14"/>
  <c r="DO95" i="14"/>
  <c r="DQ95" i="14" s="1"/>
  <c r="DN95" i="14"/>
  <c r="DP95" i="14" s="1"/>
  <c r="DG95" i="14"/>
  <c r="DI95" i="14" s="1"/>
  <c r="DF95" i="14"/>
  <c r="DH95" i="14" s="1"/>
  <c r="DC95" i="14"/>
  <c r="CU95" i="14"/>
  <c r="CW95" i="14" s="1"/>
  <c r="CQ95" i="14"/>
  <c r="CS95" i="14" s="1"/>
  <c r="CP95" i="14"/>
  <c r="CI95" i="14"/>
  <c r="CK95" i="14" s="1"/>
  <c r="CH95" i="14"/>
  <c r="CJ95" i="14" s="1"/>
  <c r="CE95" i="14"/>
  <c r="CA95" i="14"/>
  <c r="CC95" i="14" s="1"/>
  <c r="BZ95" i="14"/>
  <c r="CB95" i="14" s="1"/>
  <c r="BW95" i="14"/>
  <c r="BY95" i="14" s="1"/>
  <c r="BQ95" i="14"/>
  <c r="BO95" i="14"/>
  <c r="BN95" i="14"/>
  <c r="BP95" i="14" s="1"/>
  <c r="BM95" i="14"/>
  <c r="BK95" i="14"/>
  <c r="BG95" i="14"/>
  <c r="BI95" i="14" s="1"/>
  <c r="BF95" i="14"/>
  <c r="BH95" i="14" s="1"/>
  <c r="BB95" i="14"/>
  <c r="AU95" i="14"/>
  <c r="AW95" i="14" s="1"/>
  <c r="AT95" i="14"/>
  <c r="AQ95" i="14"/>
  <c r="AS95" i="14" s="1"/>
  <c r="AP95" i="14"/>
  <c r="AM95" i="14"/>
  <c r="AO95" i="14" s="1"/>
  <c r="AL95" i="14"/>
  <c r="AN95" i="14" s="1"/>
  <c r="AK95" i="14"/>
  <c r="AI95" i="14"/>
  <c r="AE95" i="14"/>
  <c r="AG95" i="14" s="1"/>
  <c r="AA95" i="14"/>
  <c r="AC95" i="14" s="1"/>
  <c r="Z95" i="14"/>
  <c r="W95" i="14"/>
  <c r="V95" i="14"/>
  <c r="S95" i="14"/>
  <c r="U95" i="14" s="1"/>
  <c r="R95" i="14"/>
  <c r="O95" i="14"/>
  <c r="Q95" i="14" s="1"/>
  <c r="N95" i="14"/>
  <c r="P95" i="14" s="1"/>
  <c r="K95" i="14"/>
  <c r="M95" i="14" s="1"/>
  <c r="G95" i="14"/>
  <c r="I95" i="14" s="1"/>
  <c r="F95" i="14"/>
  <c r="C95" i="14"/>
  <c r="E95" i="14" s="1"/>
  <c r="B95" i="14"/>
  <c r="DS94" i="14"/>
  <c r="DU94" i="14" s="1"/>
  <c r="DR94" i="14"/>
  <c r="DQ94" i="14"/>
  <c r="DP94" i="14"/>
  <c r="DM94" i="14"/>
  <c r="DL94" i="14"/>
  <c r="DK94" i="14"/>
  <c r="DJ94" i="14"/>
  <c r="DI94" i="14"/>
  <c r="DH94" i="14"/>
  <c r="DE94" i="14"/>
  <c r="DD94" i="14"/>
  <c r="DA94" i="14"/>
  <c r="CZ94" i="14"/>
  <c r="CY94" i="14"/>
  <c r="CX94" i="14"/>
  <c r="CW94" i="14"/>
  <c r="CV94" i="14"/>
  <c r="CS94" i="14"/>
  <c r="CR94" i="14"/>
  <c r="CO94" i="14"/>
  <c r="CN94" i="14"/>
  <c r="CM94" i="14"/>
  <c r="CL94" i="14"/>
  <c r="CK94" i="14"/>
  <c r="CJ94" i="14"/>
  <c r="CG94" i="14"/>
  <c r="CF94" i="14"/>
  <c r="CC94" i="14"/>
  <c r="CB94" i="14"/>
  <c r="BY94" i="14"/>
  <c r="BX94" i="14"/>
  <c r="BU94" i="14"/>
  <c r="BT94" i="14"/>
  <c r="BS94" i="14"/>
  <c r="BR94" i="14"/>
  <c r="BQ94" i="14"/>
  <c r="BP94" i="14"/>
  <c r="BM94" i="14"/>
  <c r="BL94" i="14"/>
  <c r="BI94" i="14"/>
  <c r="BH94" i="14"/>
  <c r="BE94" i="14"/>
  <c r="BD94" i="14"/>
  <c r="BA94" i="14"/>
  <c r="AZ94" i="14"/>
  <c r="AY94" i="14"/>
  <c r="AX94" i="14"/>
  <c r="AW94" i="14"/>
  <c r="AV94" i="14"/>
  <c r="AS94" i="14"/>
  <c r="AR94" i="14"/>
  <c r="AO94" i="14"/>
  <c r="AN94" i="14"/>
  <c r="AK94" i="14"/>
  <c r="AJ94" i="14"/>
  <c r="AG94" i="14"/>
  <c r="AF94" i="14"/>
  <c r="AC94" i="14"/>
  <c r="AB94" i="14"/>
  <c r="Y94" i="14"/>
  <c r="X94" i="14"/>
  <c r="U94" i="14"/>
  <c r="T94" i="14"/>
  <c r="Q94" i="14"/>
  <c r="P94" i="14"/>
  <c r="M94" i="14"/>
  <c r="L94" i="14"/>
  <c r="I94" i="14"/>
  <c r="H94" i="14"/>
  <c r="F94" i="14"/>
  <c r="E94" i="14"/>
  <c r="D94" i="14"/>
  <c r="DQ93" i="14"/>
  <c r="DP93" i="14"/>
  <c r="DL93" i="14"/>
  <c r="DK93" i="14"/>
  <c r="DM93" i="14" s="1"/>
  <c r="DJ93" i="14"/>
  <c r="DI93" i="14"/>
  <c r="DH93" i="14"/>
  <c r="DE93" i="14"/>
  <c r="DD93" i="14"/>
  <c r="CY93" i="14"/>
  <c r="DA93" i="14" s="1"/>
  <c r="CX93" i="14"/>
  <c r="CW93" i="14"/>
  <c r="CV93" i="14"/>
  <c r="CS93" i="14"/>
  <c r="CR93" i="14"/>
  <c r="CM93" i="14"/>
  <c r="CL93" i="14"/>
  <c r="CK93" i="14"/>
  <c r="CJ93" i="14"/>
  <c r="CG93" i="14"/>
  <c r="CF93" i="14"/>
  <c r="CC93" i="14"/>
  <c r="CB93" i="14"/>
  <c r="BY93" i="14"/>
  <c r="BX93" i="14"/>
  <c r="BT93" i="14"/>
  <c r="BS93" i="14"/>
  <c r="BQ93" i="14"/>
  <c r="BP93" i="14"/>
  <c r="BM93" i="14"/>
  <c r="BJ93" i="14"/>
  <c r="BR93" i="14" s="1"/>
  <c r="BI93" i="14"/>
  <c r="BH93" i="14"/>
  <c r="BE93" i="14"/>
  <c r="BD93" i="14"/>
  <c r="BA93" i="14"/>
  <c r="AY93" i="14"/>
  <c r="AW93" i="14"/>
  <c r="AV93" i="14"/>
  <c r="AS93" i="14"/>
  <c r="AR93" i="14"/>
  <c r="AO93" i="14"/>
  <c r="AN93" i="14"/>
  <c r="AK93" i="14"/>
  <c r="AH93" i="14"/>
  <c r="AG93" i="14"/>
  <c r="AF93" i="14"/>
  <c r="AC93" i="14"/>
  <c r="AB93" i="14"/>
  <c r="Y93" i="14"/>
  <c r="X93" i="14"/>
  <c r="U93" i="14"/>
  <c r="T93" i="14"/>
  <c r="Q93" i="14"/>
  <c r="P93" i="14"/>
  <c r="M93" i="14"/>
  <c r="L93" i="14"/>
  <c r="J93" i="14"/>
  <c r="J95" i="14" s="1"/>
  <c r="L95" i="14" s="1"/>
  <c r="I93" i="14"/>
  <c r="H93" i="14"/>
  <c r="E93" i="14"/>
  <c r="D93" i="14"/>
  <c r="B93" i="14"/>
  <c r="DS92" i="14"/>
  <c r="DQ92" i="14"/>
  <c r="DP92" i="14"/>
  <c r="DM92" i="14"/>
  <c r="DK92" i="14"/>
  <c r="DJ92" i="14"/>
  <c r="DL92" i="14" s="1"/>
  <c r="DI92" i="14"/>
  <c r="DH92" i="14"/>
  <c r="DE92" i="14"/>
  <c r="DD92" i="14"/>
  <c r="DA92" i="14"/>
  <c r="CY92" i="14"/>
  <c r="CX92" i="14"/>
  <c r="CZ92" i="14" s="1"/>
  <c r="CW92" i="14"/>
  <c r="CV92" i="14"/>
  <c r="CS92" i="14"/>
  <c r="CR92" i="14"/>
  <c r="CO92" i="14"/>
  <c r="CM92" i="14"/>
  <c r="CL92" i="14"/>
  <c r="CN92" i="14" s="1"/>
  <c r="CK92" i="14"/>
  <c r="CJ92" i="14"/>
  <c r="CG92" i="14"/>
  <c r="CF92" i="14"/>
  <c r="CC92" i="14"/>
  <c r="CB92" i="14"/>
  <c r="BY92" i="14"/>
  <c r="BX92" i="14"/>
  <c r="BU92" i="14"/>
  <c r="BS92" i="14"/>
  <c r="BR92" i="14"/>
  <c r="BT92" i="14" s="1"/>
  <c r="BQ92" i="14"/>
  <c r="BP92" i="14"/>
  <c r="BM92" i="14"/>
  <c r="BL92" i="14"/>
  <c r="BI92" i="14"/>
  <c r="BH92" i="14"/>
  <c r="BE92" i="14"/>
  <c r="BD92" i="14"/>
  <c r="BA92" i="14"/>
  <c r="AY92" i="14"/>
  <c r="AX92" i="14"/>
  <c r="AW92" i="14"/>
  <c r="AV92" i="14"/>
  <c r="AS92" i="14"/>
  <c r="AR92" i="14"/>
  <c r="AO92" i="14"/>
  <c r="AN92" i="14"/>
  <c r="AK92" i="14"/>
  <c r="AJ92" i="14"/>
  <c r="AG92" i="14"/>
  <c r="AF92" i="14"/>
  <c r="AC92" i="14"/>
  <c r="AB92" i="14"/>
  <c r="Y92" i="14"/>
  <c r="X92" i="14"/>
  <c r="U92" i="14"/>
  <c r="T92" i="14"/>
  <c r="Q92" i="14"/>
  <c r="P92" i="14"/>
  <c r="M92" i="14"/>
  <c r="L92" i="14"/>
  <c r="I92" i="14"/>
  <c r="G92" i="14"/>
  <c r="H92" i="14" s="1"/>
  <c r="E92" i="14"/>
  <c r="D92" i="14"/>
  <c r="DQ91" i="14"/>
  <c r="DP91" i="14"/>
  <c r="DM91" i="14"/>
  <c r="DK91" i="14"/>
  <c r="DI91" i="14"/>
  <c r="DH91" i="14"/>
  <c r="DF91" i="14"/>
  <c r="DE91" i="14"/>
  <c r="DB91" i="14"/>
  <c r="CY91" i="14"/>
  <c r="DA91" i="14" s="1"/>
  <c r="CW91" i="14"/>
  <c r="CT91" i="14"/>
  <c r="CS91" i="14"/>
  <c r="CR91" i="14"/>
  <c r="CM91" i="14"/>
  <c r="CK91" i="14"/>
  <c r="CJ91" i="14"/>
  <c r="CH91" i="14"/>
  <c r="CG91" i="14"/>
  <c r="CD91" i="14"/>
  <c r="CC91" i="14"/>
  <c r="CB91" i="14"/>
  <c r="BY91" i="14"/>
  <c r="BX91" i="14"/>
  <c r="BS91" i="14"/>
  <c r="BQ91" i="14"/>
  <c r="BP91" i="14"/>
  <c r="BM91" i="14"/>
  <c r="BJ91" i="14"/>
  <c r="BI91" i="14"/>
  <c r="BH91" i="14"/>
  <c r="BE91" i="14"/>
  <c r="BD91" i="14"/>
  <c r="BC91" i="14"/>
  <c r="AY91" i="14"/>
  <c r="BA91" i="14" s="1"/>
  <c r="AW91" i="14"/>
  <c r="AV91" i="14"/>
  <c r="AS91" i="14"/>
  <c r="AR91" i="14"/>
  <c r="AO91" i="14"/>
  <c r="AN91" i="14"/>
  <c r="AK91" i="14"/>
  <c r="AH91" i="14"/>
  <c r="AJ91" i="14" s="1"/>
  <c r="AG91" i="14"/>
  <c r="AF91" i="14"/>
  <c r="AD91" i="14"/>
  <c r="AD95" i="14" s="1"/>
  <c r="AC91" i="14"/>
  <c r="AB91" i="14"/>
  <c r="Y91" i="14"/>
  <c r="X91" i="14"/>
  <c r="U91" i="14"/>
  <c r="T91" i="14"/>
  <c r="Q91" i="14"/>
  <c r="P91" i="14"/>
  <c r="M91" i="14"/>
  <c r="L91" i="14"/>
  <c r="I91" i="14"/>
  <c r="G91" i="14"/>
  <c r="H91" i="14" s="1"/>
  <c r="E91" i="14"/>
  <c r="D91" i="14"/>
  <c r="C91" i="14"/>
  <c r="DS90" i="14"/>
  <c r="DQ90" i="14"/>
  <c r="DP90" i="14"/>
  <c r="DM90" i="14"/>
  <c r="DK90" i="14"/>
  <c r="DJ90" i="14"/>
  <c r="DL90" i="14" s="1"/>
  <c r="DI90" i="14"/>
  <c r="DH90" i="14"/>
  <c r="DE90" i="14"/>
  <c r="DD90" i="14"/>
  <c r="DA90" i="14"/>
  <c r="CY90" i="14"/>
  <c r="CX90" i="14"/>
  <c r="CZ90" i="14" s="1"/>
  <c r="CW90" i="14"/>
  <c r="CV90" i="14"/>
  <c r="CS90" i="14"/>
  <c r="CR90" i="14"/>
  <c r="CO90" i="14"/>
  <c r="CM90" i="14"/>
  <c r="CL90" i="14"/>
  <c r="CN90" i="14" s="1"/>
  <c r="CK90" i="14"/>
  <c r="CJ90" i="14"/>
  <c r="CG90" i="14"/>
  <c r="CF90" i="14"/>
  <c r="CC90" i="14"/>
  <c r="BZ90" i="14"/>
  <c r="CB90" i="14" s="1"/>
  <c r="BY90" i="14"/>
  <c r="BX90" i="14"/>
  <c r="BV90" i="14"/>
  <c r="BV95" i="14" s="1"/>
  <c r="BX95" i="14" s="1"/>
  <c r="BT90" i="14"/>
  <c r="BS90" i="14"/>
  <c r="BU90" i="14" s="1"/>
  <c r="BR90" i="14"/>
  <c r="BQ90" i="14"/>
  <c r="BP90" i="14"/>
  <c r="BM90" i="14"/>
  <c r="BL90" i="14"/>
  <c r="BI90" i="14"/>
  <c r="BH90" i="14"/>
  <c r="BE90" i="14"/>
  <c r="BC90" i="14"/>
  <c r="BD90" i="14" s="1"/>
  <c r="BA90" i="14"/>
  <c r="AZ90" i="14"/>
  <c r="AY90" i="14"/>
  <c r="AX90" i="14"/>
  <c r="AW90" i="14"/>
  <c r="AV90" i="14"/>
  <c r="AS90" i="14"/>
  <c r="AR90" i="14"/>
  <c r="AO90" i="14"/>
  <c r="AN90" i="14"/>
  <c r="AK90" i="14"/>
  <c r="AJ90" i="14"/>
  <c r="AG90" i="14"/>
  <c r="AF90" i="14"/>
  <c r="AC90" i="14"/>
  <c r="AB90" i="14"/>
  <c r="Y90" i="14"/>
  <c r="X90" i="14"/>
  <c r="U90" i="14"/>
  <c r="T90" i="14"/>
  <c r="Q90" i="14"/>
  <c r="P90" i="14"/>
  <c r="M90" i="14"/>
  <c r="L90" i="14"/>
  <c r="I90" i="14"/>
  <c r="H90" i="14"/>
  <c r="F90" i="14"/>
  <c r="E90" i="14"/>
  <c r="D90" i="14"/>
  <c r="DR89" i="14"/>
  <c r="DQ89" i="14"/>
  <c r="DP89" i="14"/>
  <c r="DL89" i="14"/>
  <c r="DK89" i="14"/>
  <c r="DM89" i="14" s="1"/>
  <c r="DJ89" i="14"/>
  <c r="DI89" i="14"/>
  <c r="DH89" i="14"/>
  <c r="DE89" i="14"/>
  <c r="DD89" i="14"/>
  <c r="CZ89" i="14"/>
  <c r="CY89" i="14"/>
  <c r="DA89" i="14" s="1"/>
  <c r="CX89" i="14"/>
  <c r="CW89" i="14"/>
  <c r="CV89" i="14"/>
  <c r="CS89" i="14"/>
  <c r="CR89" i="14"/>
  <c r="CM89" i="14"/>
  <c r="CL89" i="14"/>
  <c r="CK89" i="14"/>
  <c r="CJ89" i="14"/>
  <c r="CG89" i="14"/>
  <c r="CF89" i="14"/>
  <c r="CC89" i="14"/>
  <c r="CB89" i="14"/>
  <c r="BY89" i="14"/>
  <c r="BX89" i="14"/>
  <c r="BT89" i="14"/>
  <c r="BS89" i="14"/>
  <c r="BU89" i="14" s="1"/>
  <c r="BR89" i="14"/>
  <c r="BQ89" i="14"/>
  <c r="BP89" i="14"/>
  <c r="BM89" i="14"/>
  <c r="BL89" i="14"/>
  <c r="BI89" i="14"/>
  <c r="BH89" i="14"/>
  <c r="BE89" i="14"/>
  <c r="BD89" i="14"/>
  <c r="AZ89" i="14"/>
  <c r="AY89" i="14"/>
  <c r="AX89" i="14"/>
  <c r="AW89" i="14"/>
  <c r="AV89" i="14"/>
  <c r="AS89" i="14"/>
  <c r="AR89" i="14"/>
  <c r="AO89" i="14"/>
  <c r="AN89" i="14"/>
  <c r="AK89" i="14"/>
  <c r="AJ89" i="14"/>
  <c r="AG89" i="14"/>
  <c r="AF89" i="14"/>
  <c r="AC89" i="14"/>
  <c r="AB89" i="14"/>
  <c r="Y89" i="14"/>
  <c r="X89" i="14"/>
  <c r="U89" i="14"/>
  <c r="T89" i="14"/>
  <c r="Q89" i="14"/>
  <c r="P89" i="14"/>
  <c r="M89" i="14"/>
  <c r="L89" i="14"/>
  <c r="I89" i="14"/>
  <c r="H89" i="14"/>
  <c r="E89" i="14"/>
  <c r="D89" i="14"/>
  <c r="DP88" i="14"/>
  <c r="DO88" i="14"/>
  <c r="DQ88" i="14" s="1"/>
  <c r="DN88" i="14"/>
  <c r="DG88" i="14"/>
  <c r="DF88" i="14"/>
  <c r="DC88" i="14"/>
  <c r="DE88" i="14" s="1"/>
  <c r="CU88" i="14"/>
  <c r="CQ88" i="14"/>
  <c r="CI88" i="14"/>
  <c r="CK88" i="14" s="1"/>
  <c r="CE88" i="14"/>
  <c r="CG88" i="14" s="1"/>
  <c r="CA88" i="14"/>
  <c r="CC88" i="14" s="1"/>
  <c r="BW88" i="14"/>
  <c r="BY88" i="14" s="1"/>
  <c r="BP88" i="14"/>
  <c r="BO88" i="14"/>
  <c r="BQ88" i="14" s="1"/>
  <c r="BN88" i="14"/>
  <c r="BK88" i="14"/>
  <c r="BM88" i="14" s="1"/>
  <c r="BG88" i="14"/>
  <c r="BF88" i="14"/>
  <c r="AU88" i="14"/>
  <c r="AW88" i="14" s="1"/>
  <c r="AR88" i="14"/>
  <c r="AQ88" i="14"/>
  <c r="AS88" i="14" s="1"/>
  <c r="AP88" i="14"/>
  <c r="AM88" i="14"/>
  <c r="AO88" i="14" s="1"/>
  <c r="AJ88" i="14"/>
  <c r="AI88" i="14"/>
  <c r="AK88" i="14" s="1"/>
  <c r="AH88" i="14"/>
  <c r="AE88" i="14"/>
  <c r="AD88" i="14"/>
  <c r="AA88" i="14"/>
  <c r="Z88" i="14"/>
  <c r="W88" i="14"/>
  <c r="Y88" i="14" s="1"/>
  <c r="T88" i="14"/>
  <c r="S88" i="14"/>
  <c r="U88" i="14" s="1"/>
  <c r="P88" i="14"/>
  <c r="O88" i="14"/>
  <c r="Q88" i="14" s="1"/>
  <c r="N88" i="14"/>
  <c r="K88" i="14"/>
  <c r="G88" i="14"/>
  <c r="D88" i="14"/>
  <c r="C88" i="14"/>
  <c r="DS87" i="14"/>
  <c r="DQ87" i="14"/>
  <c r="DP87" i="14"/>
  <c r="DM87" i="14"/>
  <c r="DK87" i="14"/>
  <c r="DJ87" i="14"/>
  <c r="DL87" i="14" s="1"/>
  <c r="DI87" i="14"/>
  <c r="DH87" i="14"/>
  <c r="DE87" i="14"/>
  <c r="DD87" i="14"/>
  <c r="DB87" i="14"/>
  <c r="CY87" i="14"/>
  <c r="DA87" i="14" s="1"/>
  <c r="CX87" i="14"/>
  <c r="CZ87" i="14" s="1"/>
  <c r="CW87" i="14"/>
  <c r="CT87" i="14"/>
  <c r="CV87" i="14" s="1"/>
  <c r="CS87" i="14"/>
  <c r="CR87" i="14"/>
  <c r="CP87" i="14"/>
  <c r="CO87" i="14"/>
  <c r="CN87" i="14"/>
  <c r="CM87" i="14"/>
  <c r="CL87" i="14"/>
  <c r="CK87" i="14"/>
  <c r="CJ87" i="14"/>
  <c r="CG87" i="14"/>
  <c r="CF87" i="14"/>
  <c r="CC87" i="14"/>
  <c r="CB87" i="14"/>
  <c r="BY87" i="14"/>
  <c r="BX87" i="14"/>
  <c r="BU87" i="14"/>
  <c r="BS87" i="14"/>
  <c r="BQ87" i="14"/>
  <c r="BP87" i="14"/>
  <c r="BM87" i="14"/>
  <c r="BJ87" i="14"/>
  <c r="BI87" i="14"/>
  <c r="BH87" i="14"/>
  <c r="BE87" i="14"/>
  <c r="BD87" i="14"/>
  <c r="BA87" i="14"/>
  <c r="AY87" i="14"/>
  <c r="AW87" i="14"/>
  <c r="AV87" i="14"/>
  <c r="AS87" i="14"/>
  <c r="AR87" i="14"/>
  <c r="AO87" i="14"/>
  <c r="AN87" i="14"/>
  <c r="AL87" i="14"/>
  <c r="AK87" i="14"/>
  <c r="AJ87" i="14"/>
  <c r="AG87" i="14"/>
  <c r="AF87" i="14"/>
  <c r="AC87" i="14"/>
  <c r="AB87" i="14"/>
  <c r="Y87" i="14"/>
  <c r="V87" i="14"/>
  <c r="X87" i="14" s="1"/>
  <c r="U87" i="14"/>
  <c r="T87" i="14"/>
  <c r="Q87" i="14"/>
  <c r="P87" i="14"/>
  <c r="M87" i="14"/>
  <c r="L87" i="14"/>
  <c r="J87" i="14"/>
  <c r="I87" i="14"/>
  <c r="H87" i="14"/>
  <c r="G87" i="14"/>
  <c r="F87" i="14"/>
  <c r="E87" i="14"/>
  <c r="D87" i="14"/>
  <c r="DS86" i="14"/>
  <c r="DQ86" i="14"/>
  <c r="DP86" i="14"/>
  <c r="DM86" i="14"/>
  <c r="DK86" i="14"/>
  <c r="DI86" i="14"/>
  <c r="DH86" i="14"/>
  <c r="DE86" i="14"/>
  <c r="DB86" i="14"/>
  <c r="DA86" i="14"/>
  <c r="CY86" i="14"/>
  <c r="CX86" i="14"/>
  <c r="CZ86" i="14" s="1"/>
  <c r="CW86" i="14"/>
  <c r="CV86" i="14"/>
  <c r="CS86" i="14"/>
  <c r="CR86" i="14"/>
  <c r="CP86" i="14"/>
  <c r="CM86" i="14"/>
  <c r="CO86" i="14" s="1"/>
  <c r="CL86" i="14"/>
  <c r="CN86" i="14" s="1"/>
  <c r="CK86" i="14"/>
  <c r="CJ86" i="14"/>
  <c r="CG86" i="14"/>
  <c r="CF86" i="14"/>
  <c r="CC86" i="14"/>
  <c r="CB86" i="14"/>
  <c r="BY86" i="14"/>
  <c r="BX86" i="14"/>
  <c r="BS86" i="14"/>
  <c r="BU86" i="14" s="1"/>
  <c r="BR86" i="14"/>
  <c r="BQ86" i="14"/>
  <c r="BP86" i="14"/>
  <c r="BM86" i="14"/>
  <c r="BL86" i="14"/>
  <c r="BI86" i="14"/>
  <c r="BH86" i="14"/>
  <c r="BE86" i="14"/>
  <c r="BD86" i="14"/>
  <c r="AY86" i="14"/>
  <c r="BA86" i="14" s="1"/>
  <c r="AX86" i="14"/>
  <c r="AW86" i="14"/>
  <c r="AV86" i="14"/>
  <c r="AS86" i="14"/>
  <c r="AR86" i="14"/>
  <c r="AO86" i="14"/>
  <c r="AN86" i="14"/>
  <c r="AK86" i="14"/>
  <c r="AJ86" i="14"/>
  <c r="AG86" i="14"/>
  <c r="AF86" i="14"/>
  <c r="AC86" i="14"/>
  <c r="AB86" i="14"/>
  <c r="Y86" i="14"/>
  <c r="X86" i="14"/>
  <c r="U86" i="14"/>
  <c r="T86" i="14"/>
  <c r="Q86" i="14"/>
  <c r="P86" i="14"/>
  <c r="M86" i="14"/>
  <c r="L86" i="14"/>
  <c r="I86" i="14"/>
  <c r="H86" i="14"/>
  <c r="E86" i="14"/>
  <c r="D86" i="14"/>
  <c r="C86" i="14"/>
  <c r="DQ85" i="14"/>
  <c r="DP85" i="14"/>
  <c r="DM85" i="14"/>
  <c r="DK85" i="14"/>
  <c r="DJ85" i="14"/>
  <c r="DL85" i="14" s="1"/>
  <c r="DI85" i="14"/>
  <c r="DH85" i="14"/>
  <c r="DE85" i="14"/>
  <c r="DD85" i="14"/>
  <c r="DA85" i="14"/>
  <c r="CY85" i="14"/>
  <c r="CX85" i="14"/>
  <c r="CZ85" i="14" s="1"/>
  <c r="CW85" i="14"/>
  <c r="CV85" i="14"/>
  <c r="CS85" i="14"/>
  <c r="CR85" i="14"/>
  <c r="CO85" i="14"/>
  <c r="CM85" i="14"/>
  <c r="CL85" i="14"/>
  <c r="CN85" i="14" s="1"/>
  <c r="CK85" i="14"/>
  <c r="CJ85" i="14"/>
  <c r="CG85" i="14"/>
  <c r="CF85" i="14"/>
  <c r="CC85" i="14"/>
  <c r="CB85" i="14"/>
  <c r="BY85" i="14"/>
  <c r="BX85" i="14"/>
  <c r="BU85" i="14"/>
  <c r="BS85" i="14"/>
  <c r="BR85" i="14"/>
  <c r="BT85" i="14" s="1"/>
  <c r="BQ85" i="14"/>
  <c r="BP85" i="14"/>
  <c r="BM85" i="14"/>
  <c r="BL85" i="14"/>
  <c r="BJ85" i="14"/>
  <c r="BI85" i="14"/>
  <c r="BH85" i="14"/>
  <c r="BE85" i="14"/>
  <c r="BD85" i="14"/>
  <c r="AY85" i="14"/>
  <c r="BA85" i="14" s="1"/>
  <c r="AX85" i="14"/>
  <c r="AW85" i="14"/>
  <c r="AV85" i="14"/>
  <c r="AS85" i="14"/>
  <c r="AR85" i="14"/>
  <c r="AO85" i="14"/>
  <c r="AL85" i="14"/>
  <c r="AN85" i="14" s="1"/>
  <c r="AK85" i="14"/>
  <c r="AJ85" i="14"/>
  <c r="AG85" i="14"/>
  <c r="AF85" i="14"/>
  <c r="AC85" i="14"/>
  <c r="AB85" i="14"/>
  <c r="Y85" i="14"/>
  <c r="X85" i="14"/>
  <c r="U85" i="14"/>
  <c r="T85" i="14"/>
  <c r="Q85" i="14"/>
  <c r="P85" i="14"/>
  <c r="M85" i="14"/>
  <c r="L85" i="14"/>
  <c r="I85" i="14"/>
  <c r="H85" i="14"/>
  <c r="E85" i="14"/>
  <c r="D85" i="14"/>
  <c r="DQ84" i="14"/>
  <c r="DP84" i="14"/>
  <c r="DM84" i="14"/>
  <c r="DK84" i="14"/>
  <c r="DI84" i="14"/>
  <c r="DH84" i="14"/>
  <c r="DE84" i="14"/>
  <c r="DB84" i="14"/>
  <c r="CY84" i="14"/>
  <c r="DA84" i="14" s="1"/>
  <c r="CW84" i="14"/>
  <c r="CT84" i="14"/>
  <c r="CS84" i="14"/>
  <c r="CR84" i="14"/>
  <c r="CM84" i="14"/>
  <c r="CO84" i="14" s="1"/>
  <c r="CK84" i="14"/>
  <c r="CJ84" i="14"/>
  <c r="CH84" i="14"/>
  <c r="CH88" i="14" s="1"/>
  <c r="CG84" i="14"/>
  <c r="CD84" i="14"/>
  <c r="CC84" i="14"/>
  <c r="CB84" i="14"/>
  <c r="BZ84" i="14"/>
  <c r="BY84" i="14"/>
  <c r="BX84" i="14"/>
  <c r="BV84" i="14"/>
  <c r="BS84" i="14"/>
  <c r="BQ84" i="14"/>
  <c r="BP84" i="14"/>
  <c r="BM84" i="14"/>
  <c r="BL84" i="14"/>
  <c r="BI84" i="14"/>
  <c r="BH84" i="14"/>
  <c r="BE84" i="14"/>
  <c r="BC84" i="14"/>
  <c r="BB84" i="14"/>
  <c r="BA84" i="14"/>
  <c r="AY84" i="14"/>
  <c r="AX84" i="14"/>
  <c r="AZ84" i="14" s="1"/>
  <c r="AW84" i="14"/>
  <c r="AV84" i="14"/>
  <c r="AS84" i="14"/>
  <c r="AR84" i="14"/>
  <c r="AO84" i="14"/>
  <c r="AN84" i="14"/>
  <c r="AK84" i="14"/>
  <c r="AJ84" i="14"/>
  <c r="AG84" i="14"/>
  <c r="AF84" i="14"/>
  <c r="AC84" i="14"/>
  <c r="AB84" i="14"/>
  <c r="Y84" i="14"/>
  <c r="X84" i="14"/>
  <c r="V84" i="14"/>
  <c r="U84" i="14"/>
  <c r="T84" i="14"/>
  <c r="R84" i="14"/>
  <c r="Q84" i="14"/>
  <c r="P84" i="14"/>
  <c r="M84" i="14"/>
  <c r="L84" i="14"/>
  <c r="J84" i="14"/>
  <c r="I84" i="14"/>
  <c r="H84" i="14"/>
  <c r="F84" i="14"/>
  <c r="E84" i="14"/>
  <c r="D84" i="14"/>
  <c r="B84" i="14"/>
  <c r="DQ83" i="14"/>
  <c r="DP83" i="14"/>
  <c r="DM83" i="14"/>
  <c r="DL83" i="14"/>
  <c r="DK83" i="14"/>
  <c r="DJ83" i="14"/>
  <c r="DI83" i="14"/>
  <c r="DH83" i="14"/>
  <c r="DE83" i="14"/>
  <c r="DD83" i="14"/>
  <c r="CW83" i="14"/>
  <c r="CV83" i="14"/>
  <c r="CU83" i="14"/>
  <c r="CY83" i="14" s="1"/>
  <c r="CS83" i="14"/>
  <c r="CR83" i="14"/>
  <c r="CP83" i="14"/>
  <c r="CM83" i="14"/>
  <c r="CO83" i="14" s="1"/>
  <c r="CL83" i="14"/>
  <c r="CN83" i="14" s="1"/>
  <c r="CK83" i="14"/>
  <c r="CJ83" i="14"/>
  <c r="CG83" i="14"/>
  <c r="CF83" i="14"/>
  <c r="CD83" i="14"/>
  <c r="CD88" i="14" s="1"/>
  <c r="CC83" i="14"/>
  <c r="BZ83" i="14"/>
  <c r="BY83" i="14"/>
  <c r="BV83" i="14"/>
  <c r="BR83" i="14"/>
  <c r="BQ83" i="14"/>
  <c r="BP83" i="14"/>
  <c r="BM83" i="14"/>
  <c r="BL83" i="14"/>
  <c r="BI83" i="14"/>
  <c r="BH83" i="14"/>
  <c r="BC83" i="14"/>
  <c r="BB83" i="14"/>
  <c r="BB88" i="14" s="1"/>
  <c r="AY83" i="14"/>
  <c r="BA83" i="14" s="1"/>
  <c r="AW83" i="14"/>
  <c r="AV83" i="14"/>
  <c r="AT83" i="14"/>
  <c r="AT88" i="14" s="1"/>
  <c r="AV88" i="14" s="1"/>
  <c r="AS83" i="14"/>
  <c r="AR83" i="14"/>
  <c r="AO83" i="14"/>
  <c r="AN83" i="14"/>
  <c r="AL83" i="14"/>
  <c r="AK83" i="14"/>
  <c r="AJ83" i="14"/>
  <c r="AG83" i="14"/>
  <c r="AF83" i="14"/>
  <c r="AC83" i="14"/>
  <c r="AB83" i="14"/>
  <c r="Y83" i="14"/>
  <c r="X83" i="14"/>
  <c r="V83" i="14"/>
  <c r="V88" i="14" s="1"/>
  <c r="U83" i="14"/>
  <c r="T83" i="14"/>
  <c r="R83" i="14"/>
  <c r="R88" i="14" s="1"/>
  <c r="Q83" i="14"/>
  <c r="P83" i="14"/>
  <c r="K83" i="14"/>
  <c r="J83" i="14"/>
  <c r="I83" i="14"/>
  <c r="G83" i="14"/>
  <c r="F83" i="14"/>
  <c r="E83" i="14"/>
  <c r="D83" i="14"/>
  <c r="B83" i="14"/>
  <c r="B88" i="14" s="1"/>
  <c r="DQ82" i="14"/>
  <c r="DP82" i="14"/>
  <c r="DO82" i="14"/>
  <c r="DN82" i="14"/>
  <c r="DM82" i="14"/>
  <c r="DI82" i="14"/>
  <c r="DH82" i="14"/>
  <c r="DG82" i="14"/>
  <c r="DF82" i="14"/>
  <c r="DE82" i="14"/>
  <c r="DC82" i="14"/>
  <c r="DK82" i="14" s="1"/>
  <c r="CS82" i="14"/>
  <c r="CQ82" i="14"/>
  <c r="CY82" i="14" s="1"/>
  <c r="CK82" i="14"/>
  <c r="CJ82" i="14"/>
  <c r="CI82" i="14"/>
  <c r="CG82" i="14"/>
  <c r="CE82" i="14"/>
  <c r="CM82" i="14" s="1"/>
  <c r="CO82" i="14" s="1"/>
  <c r="CC82" i="14"/>
  <c r="CA82" i="14"/>
  <c r="BQ82" i="14"/>
  <c r="BP82" i="14"/>
  <c r="BO82" i="14"/>
  <c r="BN82" i="14"/>
  <c r="BM82" i="14"/>
  <c r="BK82" i="14"/>
  <c r="BI82" i="14"/>
  <c r="BH82" i="14"/>
  <c r="BG82" i="14"/>
  <c r="BF82" i="14"/>
  <c r="BA82" i="14"/>
  <c r="AW82" i="14"/>
  <c r="AV82" i="14"/>
  <c r="AU82" i="14"/>
  <c r="AT82" i="14"/>
  <c r="AS82" i="14"/>
  <c r="AR82" i="14"/>
  <c r="AQ82" i="14"/>
  <c r="AP82" i="14"/>
  <c r="AO82" i="14"/>
  <c r="AN82" i="14"/>
  <c r="AM82" i="14"/>
  <c r="AL82" i="14"/>
  <c r="AK82" i="14"/>
  <c r="AJ82" i="14"/>
  <c r="AI82" i="14"/>
  <c r="AH82" i="14"/>
  <c r="AG82" i="14"/>
  <c r="AF82" i="14"/>
  <c r="AE82" i="14"/>
  <c r="AD82" i="14"/>
  <c r="AC82" i="14"/>
  <c r="AB82" i="14"/>
  <c r="AA82" i="14"/>
  <c r="Z82" i="14"/>
  <c r="Y82" i="14"/>
  <c r="W82" i="14"/>
  <c r="AY82" i="14" s="1"/>
  <c r="U82" i="14"/>
  <c r="S82" i="14"/>
  <c r="Q82" i="14"/>
  <c r="O82" i="14"/>
  <c r="E82" i="14"/>
  <c r="C82" i="14"/>
  <c r="DQ81" i="14"/>
  <c r="DP81" i="14"/>
  <c r="DK81" i="14"/>
  <c r="DM81" i="14" s="1"/>
  <c r="DJ81" i="14"/>
  <c r="DL81" i="14" s="1"/>
  <c r="DI81" i="14"/>
  <c r="DH81" i="14"/>
  <c r="DE81" i="14"/>
  <c r="DD81" i="14"/>
  <c r="DB81" i="14"/>
  <c r="CY81" i="14"/>
  <c r="DA81" i="14" s="1"/>
  <c r="CW81" i="14"/>
  <c r="CV81" i="14"/>
  <c r="CT81" i="14"/>
  <c r="CS81" i="14"/>
  <c r="CP81" i="14"/>
  <c r="CO81" i="14"/>
  <c r="CM81" i="14"/>
  <c r="CK81" i="14"/>
  <c r="CJ81" i="14"/>
  <c r="CG81" i="14"/>
  <c r="CD81" i="14"/>
  <c r="CC81" i="14"/>
  <c r="BZ81" i="14"/>
  <c r="CB81" i="14" s="1"/>
  <c r="BY81" i="14"/>
  <c r="BX81" i="14"/>
  <c r="BV81" i="14"/>
  <c r="BQ81" i="14"/>
  <c r="BP81" i="14"/>
  <c r="BM81" i="14"/>
  <c r="BJ81" i="14"/>
  <c r="BL81" i="14" s="1"/>
  <c r="BI81" i="14"/>
  <c r="BH81" i="14"/>
  <c r="BD81" i="14"/>
  <c r="BC81" i="14"/>
  <c r="BB81" i="14"/>
  <c r="BR81" i="14" s="1"/>
  <c r="AY81" i="14"/>
  <c r="BA81" i="14" s="1"/>
  <c r="AW81" i="14"/>
  <c r="AV81" i="14"/>
  <c r="AS81" i="14"/>
  <c r="AR81" i="14"/>
  <c r="AO81" i="14"/>
  <c r="AN81" i="14"/>
  <c r="AK81" i="14"/>
  <c r="AJ81" i="14"/>
  <c r="AG81" i="14"/>
  <c r="AF81" i="14"/>
  <c r="AC81" i="14"/>
  <c r="AB81" i="14"/>
  <c r="Y81" i="14"/>
  <c r="X81" i="14"/>
  <c r="V81" i="14"/>
  <c r="AX81" i="14" s="1"/>
  <c r="AZ81" i="14" s="1"/>
  <c r="U81" i="14"/>
  <c r="R81" i="14"/>
  <c r="T81" i="14" s="1"/>
  <c r="Q81" i="14"/>
  <c r="P81" i="14"/>
  <c r="N81" i="14"/>
  <c r="M81" i="14"/>
  <c r="L81" i="14"/>
  <c r="K81" i="14"/>
  <c r="J81" i="14"/>
  <c r="I81" i="14"/>
  <c r="H81" i="14"/>
  <c r="F81" i="14"/>
  <c r="E81" i="14"/>
  <c r="B81" i="14"/>
  <c r="DQ80" i="14"/>
  <c r="DP80" i="14"/>
  <c r="DM80" i="14"/>
  <c r="DK80" i="14"/>
  <c r="DI80" i="14"/>
  <c r="DH80" i="14"/>
  <c r="DE80" i="14"/>
  <c r="DB80" i="14"/>
  <c r="CX80" i="14"/>
  <c r="CW80" i="14"/>
  <c r="CU80" i="14"/>
  <c r="CU82" i="14" s="1"/>
  <c r="CT80" i="14"/>
  <c r="CV80" i="14" s="1"/>
  <c r="CS80" i="14"/>
  <c r="CR80" i="14"/>
  <c r="CN80" i="14"/>
  <c r="CM80" i="14"/>
  <c r="CO80" i="14" s="1"/>
  <c r="CL80" i="14"/>
  <c r="CK80" i="14"/>
  <c r="CJ80" i="14"/>
  <c r="CG80" i="14"/>
  <c r="CF80" i="14"/>
  <c r="CC80" i="14"/>
  <c r="CB80" i="14"/>
  <c r="BZ80" i="14"/>
  <c r="BY80" i="14"/>
  <c r="BV80" i="14"/>
  <c r="BX80" i="14" s="1"/>
  <c r="BU80" i="14"/>
  <c r="BS80" i="14"/>
  <c r="BQ80" i="14"/>
  <c r="BP80" i="14"/>
  <c r="BM80" i="14"/>
  <c r="BJ80" i="14"/>
  <c r="BI80" i="14"/>
  <c r="BH80" i="14"/>
  <c r="BE80" i="14"/>
  <c r="BD80" i="14"/>
  <c r="AY80" i="14"/>
  <c r="BA80" i="14" s="1"/>
  <c r="AW80" i="14"/>
  <c r="AV80" i="14"/>
  <c r="AS80" i="14"/>
  <c r="AR80" i="14"/>
  <c r="AO80" i="14"/>
  <c r="AN80" i="14"/>
  <c r="AK80" i="14"/>
  <c r="AJ80" i="14"/>
  <c r="AG80" i="14"/>
  <c r="AF80" i="14"/>
  <c r="AC80" i="14"/>
  <c r="AB80" i="14"/>
  <c r="Y80" i="14"/>
  <c r="V80" i="14"/>
  <c r="U80" i="14"/>
  <c r="T80" i="14"/>
  <c r="R80" i="14"/>
  <c r="Q80" i="14"/>
  <c r="P80" i="14"/>
  <c r="K80" i="14"/>
  <c r="J80" i="14"/>
  <c r="L80" i="14" s="1"/>
  <c r="G80" i="14"/>
  <c r="F80" i="14"/>
  <c r="E80" i="14"/>
  <c r="B80" i="14"/>
  <c r="DR79" i="14"/>
  <c r="DQ79" i="14"/>
  <c r="DP79" i="14"/>
  <c r="DK79" i="14"/>
  <c r="DM79" i="14" s="1"/>
  <c r="DJ79" i="14"/>
  <c r="DI79" i="14"/>
  <c r="DH79" i="14"/>
  <c r="DE79" i="14"/>
  <c r="DD79" i="14"/>
  <c r="CY79" i="14"/>
  <c r="CX79" i="14"/>
  <c r="CW79" i="14"/>
  <c r="CV79" i="14"/>
  <c r="CS79" i="14"/>
  <c r="CR79" i="14"/>
  <c r="CM79" i="14"/>
  <c r="CO79" i="14" s="1"/>
  <c r="CL79" i="14"/>
  <c r="CK79" i="14"/>
  <c r="CJ79" i="14"/>
  <c r="CG79" i="14"/>
  <c r="CF79" i="14"/>
  <c r="CC79" i="14"/>
  <c r="CB79" i="14"/>
  <c r="BY79" i="14"/>
  <c r="BX79" i="14"/>
  <c r="BT79" i="14"/>
  <c r="BS79" i="14"/>
  <c r="BU79" i="14" s="1"/>
  <c r="BR79" i="14"/>
  <c r="BQ79" i="14"/>
  <c r="BP79" i="14"/>
  <c r="BM79" i="14"/>
  <c r="BL79" i="14"/>
  <c r="BI79" i="14"/>
  <c r="BH79" i="14"/>
  <c r="BE79" i="14"/>
  <c r="BD79" i="14"/>
  <c r="AZ79" i="14"/>
  <c r="AY79" i="14"/>
  <c r="AX79" i="14"/>
  <c r="AW79" i="14"/>
  <c r="AV79" i="14"/>
  <c r="AS79" i="14"/>
  <c r="AR79" i="14"/>
  <c r="AO79" i="14"/>
  <c r="AN79" i="14"/>
  <c r="AK79" i="14"/>
  <c r="AJ79" i="14"/>
  <c r="AG79" i="14"/>
  <c r="AF79" i="14"/>
  <c r="AC79" i="14"/>
  <c r="AB79" i="14"/>
  <c r="Y79" i="14"/>
  <c r="X79" i="14"/>
  <c r="U79" i="14"/>
  <c r="T79" i="14"/>
  <c r="Q79" i="14"/>
  <c r="P79" i="14"/>
  <c r="M79" i="14"/>
  <c r="L79" i="14"/>
  <c r="I79" i="14"/>
  <c r="H79" i="14"/>
  <c r="E79" i="14"/>
  <c r="B79" i="14"/>
  <c r="D79" i="14" s="1"/>
  <c r="DQ78" i="14"/>
  <c r="DP78" i="14"/>
  <c r="DK78" i="14"/>
  <c r="DM78" i="14" s="1"/>
  <c r="DJ78" i="14"/>
  <c r="DL78" i="14" s="1"/>
  <c r="DI78" i="14"/>
  <c r="DH78" i="14"/>
  <c r="DE78" i="14"/>
  <c r="DD78" i="14"/>
  <c r="CY78" i="14"/>
  <c r="DA78" i="14" s="1"/>
  <c r="CW78" i="14"/>
  <c r="CT78" i="14"/>
  <c r="CS78" i="14"/>
  <c r="CR78" i="14"/>
  <c r="CP78" i="14"/>
  <c r="CO78" i="14"/>
  <c r="CM78" i="14"/>
  <c r="CK78" i="14"/>
  <c r="CJ78" i="14"/>
  <c r="CH78" i="14"/>
  <c r="CH82" i="14" s="1"/>
  <c r="CG78" i="14"/>
  <c r="CD78" i="14"/>
  <c r="CC78" i="14"/>
  <c r="BZ78" i="14"/>
  <c r="BY78" i="14"/>
  <c r="BX78" i="14"/>
  <c r="BV78" i="14"/>
  <c r="BU78" i="14"/>
  <c r="BS78" i="14"/>
  <c r="BQ78" i="14"/>
  <c r="BP78" i="14"/>
  <c r="BM78" i="14"/>
  <c r="BJ78" i="14"/>
  <c r="BI78" i="14"/>
  <c r="BH78" i="14"/>
  <c r="BE78" i="14"/>
  <c r="BD78" i="14"/>
  <c r="BB78" i="14"/>
  <c r="AY78" i="14"/>
  <c r="BA78" i="14" s="1"/>
  <c r="AW78" i="14"/>
  <c r="AV78" i="14"/>
  <c r="AS78" i="14"/>
  <c r="AR78" i="14"/>
  <c r="AO78" i="14"/>
  <c r="AN78" i="14"/>
  <c r="AK78" i="14"/>
  <c r="AJ78" i="14"/>
  <c r="AG78" i="14"/>
  <c r="AF78" i="14"/>
  <c r="AC78" i="14"/>
  <c r="AB78" i="14"/>
  <c r="Y78" i="14"/>
  <c r="V78" i="14"/>
  <c r="U78" i="14"/>
  <c r="T78" i="14"/>
  <c r="R78" i="14"/>
  <c r="R82" i="14" s="1"/>
  <c r="T82" i="14" s="1"/>
  <c r="Q78" i="14"/>
  <c r="P78" i="14"/>
  <c r="M78" i="14"/>
  <c r="J78" i="14"/>
  <c r="L78" i="14" s="1"/>
  <c r="I78" i="14"/>
  <c r="H78" i="14"/>
  <c r="G78" i="14"/>
  <c r="E78" i="14"/>
  <c r="D78" i="14"/>
  <c r="B78" i="14"/>
  <c r="DS77" i="14"/>
  <c r="DQ77" i="14"/>
  <c r="DP77" i="14"/>
  <c r="DM77" i="14"/>
  <c r="DK77" i="14"/>
  <c r="DJ77" i="14"/>
  <c r="DL77" i="14" s="1"/>
  <c r="DI77" i="14"/>
  <c r="DH77" i="14"/>
  <c r="DE77" i="14"/>
  <c r="DD77" i="14"/>
  <c r="DA77" i="14"/>
  <c r="CY77" i="14"/>
  <c r="CX77" i="14"/>
  <c r="CZ77" i="14" s="1"/>
  <c r="CW77" i="14"/>
  <c r="CT77" i="14"/>
  <c r="CS77" i="14"/>
  <c r="CR77" i="14"/>
  <c r="CP77" i="14"/>
  <c r="CM77" i="14"/>
  <c r="CO77" i="14" s="1"/>
  <c r="CL77" i="14"/>
  <c r="CK77" i="14"/>
  <c r="CJ77" i="14"/>
  <c r="CG77" i="14"/>
  <c r="CF77" i="14"/>
  <c r="CC77" i="14"/>
  <c r="CB77" i="14"/>
  <c r="BW77" i="14"/>
  <c r="BW82" i="14" s="1"/>
  <c r="BV77" i="14"/>
  <c r="BU77" i="14"/>
  <c r="BS77" i="14"/>
  <c r="BR77" i="14"/>
  <c r="BT77" i="14" s="1"/>
  <c r="BQ77" i="14"/>
  <c r="BP77" i="14"/>
  <c r="BM77" i="14"/>
  <c r="BL77" i="14"/>
  <c r="BI77" i="14"/>
  <c r="BH77" i="14"/>
  <c r="BE77" i="14"/>
  <c r="BD77" i="14"/>
  <c r="BA77" i="14"/>
  <c r="AY77" i="14"/>
  <c r="AX77" i="14"/>
  <c r="AZ77" i="14" s="1"/>
  <c r="AW77" i="14"/>
  <c r="AV77" i="14"/>
  <c r="AS77" i="14"/>
  <c r="AR77" i="14"/>
  <c r="AO77" i="14"/>
  <c r="AN77" i="14"/>
  <c r="AK77" i="14"/>
  <c r="AJ77" i="14"/>
  <c r="AG77" i="14"/>
  <c r="AF77" i="14"/>
  <c r="AC77" i="14"/>
  <c r="AB77" i="14"/>
  <c r="Y77" i="14"/>
  <c r="X77" i="14"/>
  <c r="U77" i="14"/>
  <c r="T77" i="14"/>
  <c r="Q77" i="14"/>
  <c r="N77" i="14"/>
  <c r="N82" i="14" s="1"/>
  <c r="P82" i="14" s="1"/>
  <c r="M77" i="14"/>
  <c r="L77" i="14"/>
  <c r="J77" i="14"/>
  <c r="I77" i="14"/>
  <c r="H77" i="14"/>
  <c r="E77" i="14"/>
  <c r="D77" i="14"/>
  <c r="DO76" i="14"/>
  <c r="DQ76" i="14" s="1"/>
  <c r="DG76" i="14"/>
  <c r="DI76" i="14" s="1"/>
  <c r="DD76" i="14"/>
  <c r="DC76" i="14"/>
  <c r="DE76" i="14" s="1"/>
  <c r="CY76" i="14"/>
  <c r="DA76" i="14" s="1"/>
  <c r="CV76" i="14"/>
  <c r="CU76" i="14"/>
  <c r="CW76" i="14" s="1"/>
  <c r="CQ76" i="14"/>
  <c r="CS76" i="14" s="1"/>
  <c r="CI76" i="14"/>
  <c r="CK76" i="14" s="1"/>
  <c r="CF76" i="14"/>
  <c r="CE76" i="14"/>
  <c r="CG76" i="14" s="1"/>
  <c r="CA76" i="14"/>
  <c r="CC76" i="14" s="1"/>
  <c r="BX76" i="14"/>
  <c r="BW76" i="14"/>
  <c r="BY76" i="14" s="1"/>
  <c r="BO76" i="14"/>
  <c r="BQ76" i="14" s="1"/>
  <c r="BK76" i="14"/>
  <c r="BM76" i="14" s="1"/>
  <c r="BG76" i="14"/>
  <c r="BI76" i="14" s="1"/>
  <c r="BC76" i="14"/>
  <c r="BS76" i="14" s="1"/>
  <c r="AU76" i="14"/>
  <c r="AW76" i="14" s="1"/>
  <c r="AR76" i="14"/>
  <c r="AQ76" i="14"/>
  <c r="AS76" i="14" s="1"/>
  <c r="AM76" i="14"/>
  <c r="AO76" i="14" s="1"/>
  <c r="AI76" i="14"/>
  <c r="AK76" i="14" s="1"/>
  <c r="AE76" i="14"/>
  <c r="AG76" i="14" s="1"/>
  <c r="AA76" i="14"/>
  <c r="AC76" i="14" s="1"/>
  <c r="W76" i="14"/>
  <c r="S76" i="14"/>
  <c r="U76" i="14" s="1"/>
  <c r="O76" i="14"/>
  <c r="Q76" i="14" s="1"/>
  <c r="L76" i="14"/>
  <c r="K76" i="14"/>
  <c r="M76" i="14" s="1"/>
  <c r="G76" i="14"/>
  <c r="I76" i="14" s="1"/>
  <c r="DQ75" i="14"/>
  <c r="DP75" i="14"/>
  <c r="DM75" i="14"/>
  <c r="DK75" i="14"/>
  <c r="DJ75" i="14"/>
  <c r="DL75" i="14" s="1"/>
  <c r="DI75" i="14"/>
  <c r="DH75" i="14"/>
  <c r="DE75" i="14"/>
  <c r="DD75" i="14"/>
  <c r="DA75" i="14"/>
  <c r="CY75" i="14"/>
  <c r="CX75" i="14"/>
  <c r="CZ75" i="14" s="1"/>
  <c r="CW75" i="14"/>
  <c r="CV75" i="14"/>
  <c r="CS75" i="14"/>
  <c r="CR75" i="14"/>
  <c r="CO75" i="14"/>
  <c r="CM75" i="14"/>
  <c r="CL75" i="14"/>
  <c r="CN75" i="14" s="1"/>
  <c r="CK75" i="14"/>
  <c r="CJ75" i="14"/>
  <c r="CG75" i="14"/>
  <c r="CF75" i="14"/>
  <c r="CC75" i="14"/>
  <c r="CB75" i="14"/>
  <c r="BY75" i="14"/>
  <c r="BX75" i="14"/>
  <c r="BR75" i="14"/>
  <c r="BT75" i="14" s="1"/>
  <c r="BQ75" i="14"/>
  <c r="BP75" i="14"/>
  <c r="BN75" i="14"/>
  <c r="BM75" i="14"/>
  <c r="BL75" i="14"/>
  <c r="BJ75" i="14"/>
  <c r="BI75" i="14"/>
  <c r="BH75" i="14"/>
  <c r="BC75" i="14"/>
  <c r="BS75" i="14" s="1"/>
  <c r="BB75" i="14"/>
  <c r="AW75" i="14"/>
  <c r="AV75" i="14"/>
  <c r="AS75" i="14"/>
  <c r="AR75" i="14"/>
  <c r="AP75" i="14"/>
  <c r="AO75" i="14"/>
  <c r="AL75" i="14"/>
  <c r="AN75" i="14" s="1"/>
  <c r="AK75" i="14"/>
  <c r="AJ75" i="14"/>
  <c r="AH75" i="14"/>
  <c r="AG75" i="14"/>
  <c r="AF75" i="14"/>
  <c r="AD75" i="14"/>
  <c r="AC75" i="14"/>
  <c r="AB75" i="14"/>
  <c r="Z75" i="14"/>
  <c r="AX75" i="14" s="1"/>
  <c r="W75" i="14"/>
  <c r="U75" i="14"/>
  <c r="T75" i="14"/>
  <c r="Q75" i="14"/>
  <c r="P75" i="14"/>
  <c r="M75" i="14"/>
  <c r="L75" i="14"/>
  <c r="I75" i="14"/>
  <c r="H75" i="14"/>
  <c r="E75" i="14"/>
  <c r="D75" i="14"/>
  <c r="B75" i="14"/>
  <c r="DQ74" i="14"/>
  <c r="DP74" i="14"/>
  <c r="DO74" i="14"/>
  <c r="DN74" i="14"/>
  <c r="DN76" i="14" s="1"/>
  <c r="DP76" i="14" s="1"/>
  <c r="DI74" i="14"/>
  <c r="DH74" i="14"/>
  <c r="DG74" i="14"/>
  <c r="DF74" i="14"/>
  <c r="DF76" i="14" s="1"/>
  <c r="DE74" i="14"/>
  <c r="DD74" i="14"/>
  <c r="DC74" i="14"/>
  <c r="DK74" i="14" s="1"/>
  <c r="DM74" i="14" s="1"/>
  <c r="DB74" i="14"/>
  <c r="DB76" i="14" s="1"/>
  <c r="DJ76" i="14" s="1"/>
  <c r="CW74" i="14"/>
  <c r="CV74" i="14"/>
  <c r="CU74" i="14"/>
  <c r="CT74" i="14"/>
  <c r="CT76" i="14" s="1"/>
  <c r="CS74" i="14"/>
  <c r="CR74" i="14"/>
  <c r="CQ74" i="14"/>
  <c r="CY74" i="14" s="1"/>
  <c r="DA74" i="14" s="1"/>
  <c r="CP74" i="14"/>
  <c r="CP76" i="14" s="1"/>
  <c r="CO74" i="14"/>
  <c r="CK74" i="14"/>
  <c r="CJ74" i="14"/>
  <c r="CI74" i="14"/>
  <c r="CH74" i="14"/>
  <c r="CH76" i="14" s="1"/>
  <c r="CG74" i="14"/>
  <c r="CF74" i="14"/>
  <c r="CE74" i="14"/>
  <c r="CM74" i="14" s="1"/>
  <c r="CD74" i="14"/>
  <c r="CD76" i="14" s="1"/>
  <c r="CL76" i="14" s="1"/>
  <c r="CC74" i="14"/>
  <c r="CB74" i="14"/>
  <c r="CA74" i="14"/>
  <c r="BZ74" i="14"/>
  <c r="BZ76" i="14" s="1"/>
  <c r="CB76" i="14" s="1"/>
  <c r="BY74" i="14"/>
  <c r="BX74" i="14"/>
  <c r="BW74" i="14"/>
  <c r="BV74" i="14"/>
  <c r="BV76" i="14" s="1"/>
  <c r="BQ74" i="14"/>
  <c r="BP74" i="14"/>
  <c r="BO74" i="14"/>
  <c r="BN74" i="14"/>
  <c r="BN76" i="14" s="1"/>
  <c r="BP76" i="14" s="1"/>
  <c r="BM74" i="14"/>
  <c r="BL74" i="14"/>
  <c r="BK74" i="14"/>
  <c r="BJ74" i="14"/>
  <c r="BJ76" i="14" s="1"/>
  <c r="BL76" i="14" s="1"/>
  <c r="BI74" i="14"/>
  <c r="BH74" i="14"/>
  <c r="BG74" i="14"/>
  <c r="BF74" i="14"/>
  <c r="BF76" i="14" s="1"/>
  <c r="BH76" i="14" s="1"/>
  <c r="BE74" i="14"/>
  <c r="BD74" i="14"/>
  <c r="BC74" i="14"/>
  <c r="BS74" i="14" s="1"/>
  <c r="BU74" i="14" s="1"/>
  <c r="BB74" i="14"/>
  <c r="BB76" i="14" s="1"/>
  <c r="AW74" i="14"/>
  <c r="AV74" i="14"/>
  <c r="AU74" i="14"/>
  <c r="AT74" i="14"/>
  <c r="AT76" i="14" s="1"/>
  <c r="AV76" i="14" s="1"/>
  <c r="AS74" i="14"/>
  <c r="AR74" i="14"/>
  <c r="AQ74" i="14"/>
  <c r="AP74" i="14"/>
  <c r="AP76" i="14" s="1"/>
  <c r="AO74" i="14"/>
  <c r="AM74" i="14"/>
  <c r="AK74" i="14"/>
  <c r="AJ74" i="14"/>
  <c r="AI74" i="14"/>
  <c r="AH74" i="14"/>
  <c r="AH76" i="14" s="1"/>
  <c r="AJ76" i="14" s="1"/>
  <c r="AG74" i="14"/>
  <c r="AF74" i="14"/>
  <c r="AE74" i="14"/>
  <c r="AD74" i="14"/>
  <c r="AD76" i="14" s="1"/>
  <c r="AF76" i="14" s="1"/>
  <c r="AC74" i="14"/>
  <c r="AB74" i="14"/>
  <c r="AA74" i="14"/>
  <c r="Z74" i="14"/>
  <c r="Z76" i="14" s="1"/>
  <c r="AB76" i="14" s="1"/>
  <c r="Y74" i="14"/>
  <c r="X74" i="14"/>
  <c r="W74" i="14"/>
  <c r="AY74" i="14" s="1"/>
  <c r="BA74" i="14" s="1"/>
  <c r="V74" i="14"/>
  <c r="V76" i="14" s="1"/>
  <c r="U74" i="14"/>
  <c r="T74" i="14"/>
  <c r="S74" i="14"/>
  <c r="R74" i="14"/>
  <c r="R76" i="14" s="1"/>
  <c r="T76" i="14" s="1"/>
  <c r="Q74" i="14"/>
  <c r="O74" i="14"/>
  <c r="M74" i="14"/>
  <c r="L74" i="14"/>
  <c r="K74" i="14"/>
  <c r="J74" i="14"/>
  <c r="I74" i="14"/>
  <c r="H74" i="14"/>
  <c r="G74" i="14"/>
  <c r="F74" i="14"/>
  <c r="F76" i="14" s="1"/>
  <c r="B74" i="14"/>
  <c r="B76" i="14" s="1"/>
  <c r="DQ73" i="14"/>
  <c r="DP73" i="14"/>
  <c r="DK73" i="14"/>
  <c r="DM73" i="14" s="1"/>
  <c r="DJ73" i="14"/>
  <c r="DI73" i="14"/>
  <c r="DH73" i="14"/>
  <c r="DE73" i="14"/>
  <c r="DD73" i="14"/>
  <c r="CY73" i="14"/>
  <c r="DA73" i="14" s="1"/>
  <c r="CX73" i="14"/>
  <c r="CW73" i="14"/>
  <c r="CV73" i="14"/>
  <c r="CS73" i="14"/>
  <c r="CR73" i="14"/>
  <c r="CM73" i="14"/>
  <c r="CO73" i="14" s="1"/>
  <c r="CL73" i="14"/>
  <c r="CK73" i="14"/>
  <c r="CJ73" i="14"/>
  <c r="CG73" i="14"/>
  <c r="CF73" i="14"/>
  <c r="CC73" i="14"/>
  <c r="CB73" i="14"/>
  <c r="BY73" i="14"/>
  <c r="BX73" i="14"/>
  <c r="BS73" i="14"/>
  <c r="BU73" i="14" s="1"/>
  <c r="BR73" i="14"/>
  <c r="BQ73" i="14"/>
  <c r="BP73" i="14"/>
  <c r="BM73" i="14"/>
  <c r="BL73" i="14"/>
  <c r="BI73" i="14"/>
  <c r="BH73" i="14"/>
  <c r="BE73" i="14"/>
  <c r="BD73" i="14"/>
  <c r="AY73" i="14"/>
  <c r="AX73" i="14"/>
  <c r="AW73" i="14"/>
  <c r="AV73" i="14"/>
  <c r="AS73" i="14"/>
  <c r="AR73" i="14"/>
  <c r="AO73" i="14"/>
  <c r="AN73" i="14"/>
  <c r="AK73" i="14"/>
  <c r="AJ73" i="14"/>
  <c r="AG73" i="14"/>
  <c r="AF73" i="14"/>
  <c r="AC73" i="14"/>
  <c r="AB73" i="14"/>
  <c r="Y73" i="14"/>
  <c r="X73" i="14"/>
  <c r="U73" i="14"/>
  <c r="T73" i="14"/>
  <c r="Q73" i="14"/>
  <c r="N73" i="14"/>
  <c r="M73" i="14"/>
  <c r="L73" i="14"/>
  <c r="I73" i="14"/>
  <c r="H73" i="14"/>
  <c r="E73" i="14"/>
  <c r="D73" i="14"/>
  <c r="DS72" i="14"/>
  <c r="DQ72" i="14"/>
  <c r="DP72" i="14"/>
  <c r="DM72" i="14"/>
  <c r="DK72" i="14"/>
  <c r="DJ72" i="14"/>
  <c r="DL72" i="14" s="1"/>
  <c r="DI72" i="14"/>
  <c r="DH72" i="14"/>
  <c r="DE72" i="14"/>
  <c r="DD72" i="14"/>
  <c r="DA72" i="14"/>
  <c r="CY72" i="14"/>
  <c r="CX72" i="14"/>
  <c r="CZ72" i="14" s="1"/>
  <c r="CW72" i="14"/>
  <c r="CV72" i="14"/>
  <c r="CS72" i="14"/>
  <c r="CR72" i="14"/>
  <c r="CO72" i="14"/>
  <c r="CM72" i="14"/>
  <c r="CL72" i="14"/>
  <c r="CN72" i="14" s="1"/>
  <c r="CK72" i="14"/>
  <c r="CJ72" i="14"/>
  <c r="CG72" i="14"/>
  <c r="CF72" i="14"/>
  <c r="CC72" i="14"/>
  <c r="CB72" i="14"/>
  <c r="BY72" i="14"/>
  <c r="BX72" i="14"/>
  <c r="BU72" i="14"/>
  <c r="BS72" i="14"/>
  <c r="BR72" i="14"/>
  <c r="BT72" i="14" s="1"/>
  <c r="BQ72" i="14"/>
  <c r="BP72" i="14"/>
  <c r="BM72" i="14"/>
  <c r="BL72" i="14"/>
  <c r="BI72" i="14"/>
  <c r="BH72" i="14"/>
  <c r="BE72" i="14"/>
  <c r="BD72" i="14"/>
  <c r="BA72" i="14"/>
  <c r="AY72" i="14"/>
  <c r="AX72" i="14"/>
  <c r="AZ72" i="14" s="1"/>
  <c r="AW72" i="14"/>
  <c r="AV72" i="14"/>
  <c r="AS72" i="14"/>
  <c r="AR72" i="14"/>
  <c r="AO72" i="14"/>
  <c r="AL72" i="14"/>
  <c r="AN72" i="14" s="1"/>
  <c r="AK72" i="14"/>
  <c r="AJ72" i="14"/>
  <c r="AG72" i="14"/>
  <c r="AF72" i="14"/>
  <c r="AC72" i="14"/>
  <c r="AB72" i="14"/>
  <c r="Y72" i="14"/>
  <c r="X72" i="14"/>
  <c r="U72" i="14"/>
  <c r="T72" i="14"/>
  <c r="Q72" i="14"/>
  <c r="N72" i="14"/>
  <c r="M72" i="14"/>
  <c r="L72" i="14"/>
  <c r="I72" i="14"/>
  <c r="H72" i="14"/>
  <c r="E72" i="14"/>
  <c r="C72" i="14"/>
  <c r="C74" i="14" s="1"/>
  <c r="E74" i="14" s="1"/>
  <c r="DQ71" i="14"/>
  <c r="DP71" i="14"/>
  <c r="DK71" i="14"/>
  <c r="DM71" i="14" s="1"/>
  <c r="DJ71" i="14"/>
  <c r="DI71" i="14"/>
  <c r="DH71" i="14"/>
  <c r="DE71" i="14"/>
  <c r="DD71" i="14"/>
  <c r="CY71" i="14"/>
  <c r="DA71" i="14" s="1"/>
  <c r="CX71" i="14"/>
  <c r="CZ71" i="14" s="1"/>
  <c r="CW71" i="14"/>
  <c r="CV71" i="14"/>
  <c r="CS71" i="14"/>
  <c r="CR71" i="14"/>
  <c r="CM71" i="14"/>
  <c r="CO71" i="14" s="1"/>
  <c r="CL71" i="14"/>
  <c r="CK71" i="14"/>
  <c r="CJ71" i="14"/>
  <c r="CG71" i="14"/>
  <c r="CF71" i="14"/>
  <c r="CC71" i="14"/>
  <c r="CB71" i="14"/>
  <c r="BY71" i="14"/>
  <c r="BX71" i="14"/>
  <c r="BS71" i="14"/>
  <c r="BU71" i="14" s="1"/>
  <c r="BR71" i="14"/>
  <c r="BT71" i="14" s="1"/>
  <c r="BQ71" i="14"/>
  <c r="BP71" i="14"/>
  <c r="BM71" i="14"/>
  <c r="BL71" i="14"/>
  <c r="BI71" i="14"/>
  <c r="BH71" i="14"/>
  <c r="BE71" i="14"/>
  <c r="BD71" i="14"/>
  <c r="AY71" i="14"/>
  <c r="BA71" i="14" s="1"/>
  <c r="AX71" i="14"/>
  <c r="AW71" i="14"/>
  <c r="AV71" i="14"/>
  <c r="AS71" i="14"/>
  <c r="AR71" i="14"/>
  <c r="AO71" i="14"/>
  <c r="AN71" i="14"/>
  <c r="AK71" i="14"/>
  <c r="AJ71" i="14"/>
  <c r="AG71" i="14"/>
  <c r="AF71" i="14"/>
  <c r="AC71" i="14"/>
  <c r="AB71" i="14"/>
  <c r="Y71" i="14"/>
  <c r="X71" i="14"/>
  <c r="U71" i="14"/>
  <c r="T71" i="14"/>
  <c r="Q71" i="14"/>
  <c r="N71" i="14"/>
  <c r="P71" i="14" s="1"/>
  <c r="M71" i="14"/>
  <c r="L71" i="14"/>
  <c r="J71" i="14"/>
  <c r="J76" i="14" s="1"/>
  <c r="I71" i="14"/>
  <c r="H71" i="14"/>
  <c r="C71" i="14"/>
  <c r="DQ70" i="14"/>
  <c r="DP70" i="14"/>
  <c r="DK70" i="14"/>
  <c r="DJ70" i="14"/>
  <c r="DI70" i="14"/>
  <c r="DH70" i="14"/>
  <c r="DE70" i="14"/>
  <c r="DD70" i="14"/>
  <c r="CZ70" i="14"/>
  <c r="CY70" i="14"/>
  <c r="DA70" i="14" s="1"/>
  <c r="CX70" i="14"/>
  <c r="CW70" i="14"/>
  <c r="CV70" i="14"/>
  <c r="CS70" i="14"/>
  <c r="CR70" i="14"/>
  <c r="CN70" i="14"/>
  <c r="CM70" i="14"/>
  <c r="CO70" i="14" s="1"/>
  <c r="CL70" i="14"/>
  <c r="CK70" i="14"/>
  <c r="CJ70" i="14"/>
  <c r="CG70" i="14"/>
  <c r="CF70" i="14"/>
  <c r="CC70" i="14"/>
  <c r="CB70" i="14"/>
  <c r="BY70" i="14"/>
  <c r="BX70" i="14"/>
  <c r="BT70" i="14"/>
  <c r="BS70" i="14"/>
  <c r="BU70" i="14" s="1"/>
  <c r="BR70" i="14"/>
  <c r="BQ70" i="14"/>
  <c r="BP70" i="14"/>
  <c r="BM70" i="14"/>
  <c r="BL70" i="14"/>
  <c r="BI70" i="14"/>
  <c r="BH70" i="14"/>
  <c r="BE70" i="14"/>
  <c r="BD70" i="14"/>
  <c r="AY70" i="14"/>
  <c r="AX70" i="14"/>
  <c r="AW70" i="14"/>
  <c r="AV70" i="14"/>
  <c r="AS70" i="14"/>
  <c r="AR70" i="14"/>
  <c r="AO70" i="14"/>
  <c r="AN70" i="14"/>
  <c r="AK70" i="14"/>
  <c r="AJ70" i="14"/>
  <c r="AG70" i="14"/>
  <c r="AF70" i="14"/>
  <c r="AC70" i="14"/>
  <c r="AB70" i="14"/>
  <c r="Y70" i="14"/>
  <c r="X70" i="14"/>
  <c r="U70" i="14"/>
  <c r="T70" i="14"/>
  <c r="Q70" i="14"/>
  <c r="N70" i="14"/>
  <c r="DR70" i="14" s="1"/>
  <c r="M70" i="14"/>
  <c r="L70" i="14"/>
  <c r="I70" i="14"/>
  <c r="H70" i="14"/>
  <c r="C70" i="14"/>
  <c r="DR69" i="14"/>
  <c r="DQ69" i="14"/>
  <c r="DP69" i="14"/>
  <c r="DL69" i="14"/>
  <c r="DK69" i="14"/>
  <c r="DM69" i="14" s="1"/>
  <c r="DJ69" i="14"/>
  <c r="DI69" i="14"/>
  <c r="DH69" i="14"/>
  <c r="DE69" i="14"/>
  <c r="DD69" i="14"/>
  <c r="CZ69" i="14"/>
  <c r="CY69" i="14"/>
  <c r="DA69" i="14" s="1"/>
  <c r="CX69" i="14"/>
  <c r="CW69" i="14"/>
  <c r="CV69" i="14"/>
  <c r="CS69" i="14"/>
  <c r="CR69" i="14"/>
  <c r="CM69" i="14"/>
  <c r="CO69" i="14" s="1"/>
  <c r="CL69" i="14"/>
  <c r="CK69" i="14"/>
  <c r="CJ69" i="14"/>
  <c r="CG69" i="14"/>
  <c r="CF69" i="14"/>
  <c r="CC69" i="14"/>
  <c r="CB69" i="14"/>
  <c r="BY69" i="14"/>
  <c r="BX69" i="14"/>
  <c r="BS69" i="14"/>
  <c r="BR69" i="14"/>
  <c r="BQ69" i="14"/>
  <c r="BP69" i="14"/>
  <c r="BM69" i="14"/>
  <c r="BL69" i="14"/>
  <c r="BI69" i="14"/>
  <c r="BH69" i="14"/>
  <c r="BE69" i="14"/>
  <c r="BD69" i="14"/>
  <c r="AZ69" i="14"/>
  <c r="AY69" i="14"/>
  <c r="AX69" i="14"/>
  <c r="AW69" i="14"/>
  <c r="AV69" i="14"/>
  <c r="AS69" i="14"/>
  <c r="AR69" i="14"/>
  <c r="AO69" i="14"/>
  <c r="AN69" i="14"/>
  <c r="AK69" i="14"/>
  <c r="AJ69" i="14"/>
  <c r="AG69" i="14"/>
  <c r="AF69" i="14"/>
  <c r="AC69" i="14"/>
  <c r="AB69" i="14"/>
  <c r="Y69" i="14"/>
  <c r="X69" i="14"/>
  <c r="U69" i="14"/>
  <c r="T69" i="14"/>
  <c r="Q69" i="14"/>
  <c r="P69" i="14"/>
  <c r="M69" i="14"/>
  <c r="L69" i="14"/>
  <c r="I69" i="14"/>
  <c r="H69" i="14"/>
  <c r="E69" i="14"/>
  <c r="D69" i="14"/>
  <c r="DO68" i="14"/>
  <c r="DQ68" i="14" s="1"/>
  <c r="DG68" i="14"/>
  <c r="DI68" i="14" s="1"/>
  <c r="CI68" i="14"/>
  <c r="CK68" i="14" s="1"/>
  <c r="BK68" i="14"/>
  <c r="BM68" i="14" s="1"/>
  <c r="AU68" i="14"/>
  <c r="AW68" i="14" s="1"/>
  <c r="AM68" i="14"/>
  <c r="AO68" i="14" s="1"/>
  <c r="AE68" i="14"/>
  <c r="AG68" i="14" s="1"/>
  <c r="W68" i="14"/>
  <c r="O68" i="14"/>
  <c r="Q68" i="14" s="1"/>
  <c r="DP67" i="14"/>
  <c r="DO67" i="14"/>
  <c r="DQ67" i="14" s="1"/>
  <c r="DN67" i="14"/>
  <c r="DG67" i="14"/>
  <c r="DI67" i="14" s="1"/>
  <c r="DD67" i="14"/>
  <c r="DC67" i="14"/>
  <c r="DK67" i="14" s="1"/>
  <c r="DM67" i="14" s="1"/>
  <c r="DB67" i="14"/>
  <c r="CV67" i="14"/>
  <c r="CU67" i="14"/>
  <c r="CW67" i="14" s="1"/>
  <c r="CT67" i="14"/>
  <c r="CQ67" i="14"/>
  <c r="CS67" i="14" s="1"/>
  <c r="CP67" i="14"/>
  <c r="CX67" i="14" s="1"/>
  <c r="CJ67" i="14"/>
  <c r="CI67" i="14"/>
  <c r="CK67" i="14" s="1"/>
  <c r="CH67" i="14"/>
  <c r="CE67" i="14"/>
  <c r="CM67" i="14" s="1"/>
  <c r="CO67" i="14" s="1"/>
  <c r="BX67" i="14"/>
  <c r="BW67" i="14"/>
  <c r="BY67" i="14" s="1"/>
  <c r="BO67" i="14"/>
  <c r="BK67" i="14"/>
  <c r="BM67" i="14" s="1"/>
  <c r="BG67" i="14"/>
  <c r="AY67" i="14"/>
  <c r="AU67" i="14"/>
  <c r="AW67" i="14" s="1"/>
  <c r="AQ67" i="14"/>
  <c r="AM67" i="14"/>
  <c r="AO67" i="14" s="1"/>
  <c r="AI67" i="14"/>
  <c r="AE67" i="14"/>
  <c r="AG67" i="14" s="1"/>
  <c r="AA67" i="14"/>
  <c r="W67" i="14"/>
  <c r="S67" i="14"/>
  <c r="P67" i="14"/>
  <c r="O67" i="14"/>
  <c r="Q67" i="14" s="1"/>
  <c r="N67" i="14"/>
  <c r="F67" i="14"/>
  <c r="C67" i="14"/>
  <c r="E67" i="14" s="1"/>
  <c r="DQ66" i="14"/>
  <c r="DP66" i="14"/>
  <c r="DM66" i="14"/>
  <c r="DK66" i="14"/>
  <c r="DJ66" i="14"/>
  <c r="DL66" i="14" s="1"/>
  <c r="DI66" i="14"/>
  <c r="DH66" i="14"/>
  <c r="DF66" i="14"/>
  <c r="DE66" i="14"/>
  <c r="DD66" i="14"/>
  <c r="CY66" i="14"/>
  <c r="DA66" i="14" s="1"/>
  <c r="CX66" i="14"/>
  <c r="CW66" i="14"/>
  <c r="CV66" i="14"/>
  <c r="CS66" i="14"/>
  <c r="CR66" i="14"/>
  <c r="CM66" i="14"/>
  <c r="CO66" i="14" s="1"/>
  <c r="CL66" i="14"/>
  <c r="CK66" i="14"/>
  <c r="CJ66" i="14"/>
  <c r="CG66" i="14"/>
  <c r="CF66" i="14"/>
  <c r="CD66" i="14"/>
  <c r="CB66" i="14"/>
  <c r="CA66" i="14"/>
  <c r="CC66" i="14" s="1"/>
  <c r="BZ66" i="14"/>
  <c r="BY66" i="14"/>
  <c r="BX66" i="14"/>
  <c r="BV66" i="14"/>
  <c r="BR66" i="14"/>
  <c r="BQ66" i="14"/>
  <c r="BN66" i="14"/>
  <c r="BP66" i="14" s="1"/>
  <c r="BM66" i="14"/>
  <c r="BL66" i="14"/>
  <c r="BJ66" i="14"/>
  <c r="BI66" i="14"/>
  <c r="BH66" i="14"/>
  <c r="BF66" i="14"/>
  <c r="BD66" i="14"/>
  <c r="BC66" i="14"/>
  <c r="BE66" i="14" s="1"/>
  <c r="BB66" i="14"/>
  <c r="AY66" i="14"/>
  <c r="AW66" i="14"/>
  <c r="AT66" i="14"/>
  <c r="AV66" i="14" s="1"/>
  <c r="AS66" i="14"/>
  <c r="AP66" i="14"/>
  <c r="AR66" i="14" s="1"/>
  <c r="AO66" i="14"/>
  <c r="AN66" i="14"/>
  <c r="AL66" i="14"/>
  <c r="AK66" i="14"/>
  <c r="AJ66" i="14"/>
  <c r="AH66" i="14"/>
  <c r="AG66" i="14"/>
  <c r="AF66" i="14"/>
  <c r="AD66" i="14"/>
  <c r="AC66" i="14"/>
  <c r="Z66" i="14"/>
  <c r="AB66" i="14" s="1"/>
  <c r="W66" i="14"/>
  <c r="V66" i="14"/>
  <c r="U66" i="14"/>
  <c r="T66" i="14"/>
  <c r="R66" i="14"/>
  <c r="Q66" i="14"/>
  <c r="P66" i="14"/>
  <c r="K66" i="14"/>
  <c r="M66" i="14" s="1"/>
  <c r="J66" i="14"/>
  <c r="I66" i="14"/>
  <c r="H66" i="14"/>
  <c r="E66" i="14"/>
  <c r="D66" i="14"/>
  <c r="B66" i="14"/>
  <c r="DQ65" i="14"/>
  <c r="DP65" i="14"/>
  <c r="DM65" i="14"/>
  <c r="DK65" i="14"/>
  <c r="DJ65" i="14"/>
  <c r="DL65" i="14" s="1"/>
  <c r="DI65" i="14"/>
  <c r="DH65" i="14"/>
  <c r="DF65" i="14"/>
  <c r="DF67" i="14" s="1"/>
  <c r="DH67" i="14" s="1"/>
  <c r="DE65" i="14"/>
  <c r="DD65" i="14"/>
  <c r="CY65" i="14"/>
  <c r="DA65" i="14" s="1"/>
  <c r="CX65" i="14"/>
  <c r="CW65" i="14"/>
  <c r="CV65" i="14"/>
  <c r="CS65" i="14"/>
  <c r="CR65" i="14"/>
  <c r="CM65" i="14"/>
  <c r="CO65" i="14" s="1"/>
  <c r="CL65" i="14"/>
  <c r="CN65" i="14" s="1"/>
  <c r="CK65" i="14"/>
  <c r="CJ65" i="14"/>
  <c r="CG65" i="14"/>
  <c r="CF65" i="14"/>
  <c r="CD65" i="14"/>
  <c r="CD67" i="14" s="1"/>
  <c r="CL67" i="14" s="1"/>
  <c r="CB65" i="14"/>
  <c r="CA65" i="14"/>
  <c r="CC65" i="14" s="1"/>
  <c r="BZ65" i="14"/>
  <c r="BZ67" i="14" s="1"/>
  <c r="BY65" i="14"/>
  <c r="BX65" i="14"/>
  <c r="BV65" i="14"/>
  <c r="BV67" i="14" s="1"/>
  <c r="BS65" i="14"/>
  <c r="BU65" i="14" s="1"/>
  <c r="BR65" i="14"/>
  <c r="BQ65" i="14"/>
  <c r="BN65" i="14"/>
  <c r="BM65" i="14"/>
  <c r="BL65" i="14"/>
  <c r="BJ65" i="14"/>
  <c r="BJ67" i="14" s="1"/>
  <c r="BL67" i="14" s="1"/>
  <c r="BI65" i="14"/>
  <c r="BH65" i="14"/>
  <c r="BF65" i="14"/>
  <c r="BF67" i="14" s="1"/>
  <c r="BH67" i="14" s="1"/>
  <c r="BD65" i="14"/>
  <c r="BC65" i="14"/>
  <c r="BE65" i="14" s="1"/>
  <c r="BB65" i="14"/>
  <c r="BB67" i="14" s="1"/>
  <c r="AY65" i="14"/>
  <c r="AW65" i="14"/>
  <c r="AV65" i="14"/>
  <c r="AT65" i="14"/>
  <c r="AT67" i="14" s="1"/>
  <c r="AV67" i="14" s="1"/>
  <c r="AS65" i="14"/>
  <c r="AP65" i="14"/>
  <c r="AO65" i="14"/>
  <c r="AN65" i="14"/>
  <c r="AL65" i="14"/>
  <c r="AL67" i="14" s="1"/>
  <c r="AN67" i="14" s="1"/>
  <c r="AK65" i="14"/>
  <c r="AJ65" i="14"/>
  <c r="AH65" i="14"/>
  <c r="AH67" i="14" s="1"/>
  <c r="AJ67" i="14" s="1"/>
  <c r="AG65" i="14"/>
  <c r="AD65" i="14"/>
  <c r="AC65" i="14"/>
  <c r="Z65" i="14"/>
  <c r="W65" i="14"/>
  <c r="V65" i="14"/>
  <c r="U65" i="14"/>
  <c r="T65" i="14"/>
  <c r="R65" i="14"/>
  <c r="R67" i="14" s="1"/>
  <c r="Q65" i="14"/>
  <c r="P65" i="14"/>
  <c r="K65" i="14"/>
  <c r="J65" i="14"/>
  <c r="I65" i="14"/>
  <c r="H65" i="14"/>
  <c r="E65" i="14"/>
  <c r="D65" i="14"/>
  <c r="B65" i="14"/>
  <c r="B67" i="14" s="1"/>
  <c r="DQ64" i="14"/>
  <c r="DP64" i="14"/>
  <c r="DM64" i="14"/>
  <c r="DK64" i="14"/>
  <c r="DJ64" i="14"/>
  <c r="DL64" i="14" s="1"/>
  <c r="DI64" i="14"/>
  <c r="DH64" i="14"/>
  <c r="DE64" i="14"/>
  <c r="DD64" i="14"/>
  <c r="DA64" i="14"/>
  <c r="CY64" i="14"/>
  <c r="CX64" i="14"/>
  <c r="CZ64" i="14" s="1"/>
  <c r="CW64" i="14"/>
  <c r="CV64" i="14"/>
  <c r="CS64" i="14"/>
  <c r="CR64" i="14"/>
  <c r="CO64" i="14"/>
  <c r="CM64" i="14"/>
  <c r="CL64" i="14"/>
  <c r="CN64" i="14" s="1"/>
  <c r="CK64" i="14"/>
  <c r="CJ64" i="14"/>
  <c r="CG64" i="14"/>
  <c r="CF64" i="14"/>
  <c r="CC64" i="14"/>
  <c r="CB64" i="14"/>
  <c r="BX64" i="14"/>
  <c r="BW64" i="14"/>
  <c r="BY64" i="14" s="1"/>
  <c r="BS64" i="14"/>
  <c r="BU64" i="14" s="1"/>
  <c r="BR64" i="14"/>
  <c r="BT64" i="14" s="1"/>
  <c r="BQ64" i="14"/>
  <c r="BP64" i="14"/>
  <c r="BM64" i="14"/>
  <c r="BL64" i="14"/>
  <c r="BI64" i="14"/>
  <c r="BH64" i="14"/>
  <c r="BE64" i="14"/>
  <c r="BD64" i="14"/>
  <c r="AY64" i="14"/>
  <c r="BA64" i="14" s="1"/>
  <c r="AX64" i="14"/>
  <c r="AW64" i="14"/>
  <c r="AV64" i="14"/>
  <c r="AS64" i="14"/>
  <c r="AR64" i="14"/>
  <c r="AO64" i="14"/>
  <c r="AN64" i="14"/>
  <c r="AK64" i="14"/>
  <c r="AJ64" i="14"/>
  <c r="AG64" i="14"/>
  <c r="AF64" i="14"/>
  <c r="AC64" i="14"/>
  <c r="AB64" i="14"/>
  <c r="Y64" i="14"/>
  <c r="X64" i="14"/>
  <c r="U64" i="14"/>
  <c r="T64" i="14"/>
  <c r="Q64" i="14"/>
  <c r="P64" i="14"/>
  <c r="M64" i="14"/>
  <c r="L64" i="14"/>
  <c r="K64" i="14"/>
  <c r="H64" i="14"/>
  <c r="G64" i="14"/>
  <c r="E64" i="14"/>
  <c r="D64" i="14"/>
  <c r="DQ63" i="14"/>
  <c r="DO63" i="14"/>
  <c r="DM63" i="14"/>
  <c r="DI63" i="14"/>
  <c r="DH63" i="14"/>
  <c r="DG63" i="14"/>
  <c r="DE63" i="14"/>
  <c r="DD63" i="14"/>
  <c r="DC63" i="14"/>
  <c r="DK63" i="14" s="1"/>
  <c r="DB63" i="14"/>
  <c r="DJ63" i="14" s="1"/>
  <c r="DL63" i="14" s="1"/>
  <c r="CS63" i="14"/>
  <c r="CQ63" i="14"/>
  <c r="CO63" i="14"/>
  <c r="CK63" i="14"/>
  <c r="CJ63" i="14"/>
  <c r="CI63" i="14"/>
  <c r="CH63" i="14"/>
  <c r="CG63" i="14"/>
  <c r="CE63" i="14"/>
  <c r="CM63" i="14" s="1"/>
  <c r="BQ63" i="14"/>
  <c r="BP63" i="14"/>
  <c r="BO63" i="14"/>
  <c r="BM63" i="14"/>
  <c r="BK63" i="14"/>
  <c r="BI63" i="14"/>
  <c r="BG63" i="14"/>
  <c r="AW63" i="14"/>
  <c r="AU63" i="14"/>
  <c r="AS63" i="14"/>
  <c r="AQ63" i="14"/>
  <c r="AO63" i="14"/>
  <c r="AM63" i="14"/>
  <c r="AK63" i="14"/>
  <c r="AI63" i="14"/>
  <c r="AG63" i="14"/>
  <c r="AE63" i="14"/>
  <c r="AC63" i="14"/>
  <c r="AA63" i="14"/>
  <c r="U63" i="14"/>
  <c r="S63" i="14"/>
  <c r="Q63" i="14"/>
  <c r="P63" i="14"/>
  <c r="O63" i="14"/>
  <c r="N63" i="14"/>
  <c r="DQ62" i="14"/>
  <c r="DP62" i="14"/>
  <c r="DK62" i="14"/>
  <c r="DM62" i="14" s="1"/>
  <c r="DJ62" i="14"/>
  <c r="DI62" i="14"/>
  <c r="DH62" i="14"/>
  <c r="DE62" i="14"/>
  <c r="DD62" i="14"/>
  <c r="CY62" i="14"/>
  <c r="CX62" i="14"/>
  <c r="CZ62" i="14" s="1"/>
  <c r="CU62" i="14"/>
  <c r="CS62" i="14"/>
  <c r="CR62" i="14"/>
  <c r="CN62" i="14"/>
  <c r="CM62" i="14"/>
  <c r="CO62" i="14" s="1"/>
  <c r="CL62" i="14"/>
  <c r="CK62" i="14"/>
  <c r="CJ62" i="14"/>
  <c r="CG62" i="14"/>
  <c r="CF62" i="14"/>
  <c r="CC62" i="14"/>
  <c r="CB62" i="14"/>
  <c r="BY62" i="14"/>
  <c r="BX62" i="14"/>
  <c r="BS62" i="14"/>
  <c r="BU62" i="14" s="1"/>
  <c r="BR62" i="14"/>
  <c r="BQ62" i="14"/>
  <c r="BP62" i="14"/>
  <c r="BM62" i="14"/>
  <c r="BL62" i="14"/>
  <c r="BI62" i="14"/>
  <c r="BH62" i="14"/>
  <c r="BE62" i="14"/>
  <c r="BD62" i="14"/>
  <c r="AY62" i="14"/>
  <c r="AX62" i="14"/>
  <c r="AW62" i="14"/>
  <c r="AV62" i="14"/>
  <c r="AS62" i="14"/>
  <c r="AR62" i="14"/>
  <c r="AO62" i="14"/>
  <c r="AN62" i="14"/>
  <c r="AK62" i="14"/>
  <c r="AJ62" i="14"/>
  <c r="AG62" i="14"/>
  <c r="AF62" i="14"/>
  <c r="AC62" i="14"/>
  <c r="AB62" i="14"/>
  <c r="Y62" i="14"/>
  <c r="X62" i="14"/>
  <c r="U62" i="14"/>
  <c r="T62" i="14"/>
  <c r="Q62" i="14"/>
  <c r="P62" i="14"/>
  <c r="M62" i="14"/>
  <c r="L62" i="14"/>
  <c r="I62" i="14"/>
  <c r="H62" i="14"/>
  <c r="E62" i="14"/>
  <c r="D62" i="14"/>
  <c r="DQ61" i="14"/>
  <c r="DP61" i="14"/>
  <c r="DM61" i="14"/>
  <c r="DK61" i="14"/>
  <c r="DJ61" i="14"/>
  <c r="DL61" i="14" s="1"/>
  <c r="DI61" i="14"/>
  <c r="DH61" i="14"/>
  <c r="DE61" i="14"/>
  <c r="DD61" i="14"/>
  <c r="CX61" i="14"/>
  <c r="CW61" i="14"/>
  <c r="CV61" i="14"/>
  <c r="CU61" i="14"/>
  <c r="CU63" i="14" s="1"/>
  <c r="CS61" i="14"/>
  <c r="CR61" i="14"/>
  <c r="CM61" i="14"/>
  <c r="CO61" i="14" s="1"/>
  <c r="CL61" i="14"/>
  <c r="CN61" i="14" s="1"/>
  <c r="CK61" i="14"/>
  <c r="CJ61" i="14"/>
  <c r="CG61" i="14"/>
  <c r="CF61" i="14"/>
  <c r="CC61" i="14"/>
  <c r="CB61" i="14"/>
  <c r="BY61" i="14"/>
  <c r="BX61" i="14"/>
  <c r="BS61" i="14"/>
  <c r="BU61" i="14" s="1"/>
  <c r="BR61" i="14"/>
  <c r="BQ61" i="14"/>
  <c r="BP61" i="14"/>
  <c r="BM61" i="14"/>
  <c r="BL61" i="14"/>
  <c r="BI61" i="14"/>
  <c r="BH61" i="14"/>
  <c r="BE61" i="14"/>
  <c r="BD61" i="14"/>
  <c r="AY61" i="14"/>
  <c r="AX61" i="14"/>
  <c r="AW61" i="14"/>
  <c r="AV61" i="14"/>
  <c r="AS61" i="14"/>
  <c r="AR61" i="14"/>
  <c r="AO61" i="14"/>
  <c r="AN61" i="14"/>
  <c r="AK61" i="14"/>
  <c r="AJ61" i="14"/>
  <c r="AG61" i="14"/>
  <c r="AF61" i="14"/>
  <c r="AC61" i="14"/>
  <c r="AB61" i="14"/>
  <c r="Y61" i="14"/>
  <c r="X61" i="14"/>
  <c r="U61" i="14"/>
  <c r="T61" i="14"/>
  <c r="Q61" i="14"/>
  <c r="P61" i="14"/>
  <c r="M61" i="14"/>
  <c r="L61" i="14"/>
  <c r="I61" i="14"/>
  <c r="H61" i="14"/>
  <c r="E61" i="14"/>
  <c r="D61" i="14"/>
  <c r="DQ60" i="14"/>
  <c r="DN60" i="14"/>
  <c r="DM60" i="14"/>
  <c r="DK60" i="14"/>
  <c r="DJ60" i="14"/>
  <c r="DL60" i="14" s="1"/>
  <c r="DI60" i="14"/>
  <c r="DH60" i="14"/>
  <c r="DF60" i="14"/>
  <c r="DF63" i="14" s="1"/>
  <c r="DE60" i="14"/>
  <c r="DD60" i="14"/>
  <c r="CY60" i="14"/>
  <c r="DA60" i="14" s="1"/>
  <c r="CW60" i="14"/>
  <c r="CT60" i="14"/>
  <c r="CS60" i="14"/>
  <c r="CR60" i="14"/>
  <c r="CP60" i="14"/>
  <c r="CP63" i="14" s="1"/>
  <c r="CO60" i="14"/>
  <c r="CM60" i="14"/>
  <c r="CK60" i="14"/>
  <c r="CJ60" i="14"/>
  <c r="CG60" i="14"/>
  <c r="CD60" i="14"/>
  <c r="CC60" i="14"/>
  <c r="CA60" i="14"/>
  <c r="CA63" i="14" s="1"/>
  <c r="BZ60" i="14"/>
  <c r="BW60" i="14"/>
  <c r="BW63" i="14" s="1"/>
  <c r="BV60" i="14"/>
  <c r="BQ60" i="14"/>
  <c r="BP60" i="14"/>
  <c r="BN60" i="14"/>
  <c r="BN63" i="14" s="1"/>
  <c r="BM60" i="14"/>
  <c r="BL60" i="14"/>
  <c r="BJ60" i="14"/>
  <c r="BJ63" i="14" s="1"/>
  <c r="BL63" i="14" s="1"/>
  <c r="BI60" i="14"/>
  <c r="BF60" i="14"/>
  <c r="BC60" i="14"/>
  <c r="BB60" i="14"/>
  <c r="AY60" i="14"/>
  <c r="AW60" i="14"/>
  <c r="AT60" i="14"/>
  <c r="AS60" i="14"/>
  <c r="AR60" i="14"/>
  <c r="AP60" i="14"/>
  <c r="AP63" i="14" s="1"/>
  <c r="AR63" i="14" s="1"/>
  <c r="AO60" i="14"/>
  <c r="AN60" i="14"/>
  <c r="AL60" i="14"/>
  <c r="AL63" i="14" s="1"/>
  <c r="AN63" i="14" s="1"/>
  <c r="AK60" i="14"/>
  <c r="AJ60" i="14"/>
  <c r="AH60" i="14"/>
  <c r="AH63" i="14" s="1"/>
  <c r="AJ63" i="14" s="1"/>
  <c r="AG60" i="14"/>
  <c r="AD60" i="14"/>
  <c r="AX60" i="14" s="1"/>
  <c r="AZ60" i="14" s="1"/>
  <c r="AC60" i="14"/>
  <c r="AB60" i="14"/>
  <c r="Z60" i="14"/>
  <c r="Z63" i="14" s="1"/>
  <c r="AB63" i="14" s="1"/>
  <c r="Y60" i="14"/>
  <c r="X60" i="14"/>
  <c r="W60" i="14"/>
  <c r="W63" i="14" s="1"/>
  <c r="AY63" i="14" s="1"/>
  <c r="V60" i="14"/>
  <c r="V63" i="14" s="1"/>
  <c r="X63" i="14" s="1"/>
  <c r="U60" i="14"/>
  <c r="T60" i="14"/>
  <c r="R60" i="14"/>
  <c r="R63" i="14" s="1"/>
  <c r="T63" i="14" s="1"/>
  <c r="Q60" i="14"/>
  <c r="P60" i="14"/>
  <c r="K60" i="14"/>
  <c r="K63" i="14" s="1"/>
  <c r="J60" i="14"/>
  <c r="I60" i="14"/>
  <c r="G60" i="14"/>
  <c r="G63" i="14" s="1"/>
  <c r="F60" i="14"/>
  <c r="E60" i="14"/>
  <c r="C60" i="14"/>
  <c r="C63" i="14" s="1"/>
  <c r="B60" i="14"/>
  <c r="DQ59" i="14"/>
  <c r="DO59" i="14"/>
  <c r="DN59" i="14"/>
  <c r="DM59" i="14"/>
  <c r="DI59" i="14"/>
  <c r="DG59" i="14"/>
  <c r="DF59" i="14"/>
  <c r="DJ59" i="14" s="1"/>
  <c r="DL59" i="14" s="1"/>
  <c r="DE59" i="14"/>
  <c r="DC59" i="14"/>
  <c r="DK59" i="14" s="1"/>
  <c r="DB59" i="14"/>
  <c r="CS59" i="14"/>
  <c r="CQ59" i="14"/>
  <c r="CL59" i="14"/>
  <c r="CN59" i="14" s="1"/>
  <c r="CK59" i="14"/>
  <c r="CI59" i="14"/>
  <c r="CH59" i="14"/>
  <c r="CG59" i="14"/>
  <c r="CE59" i="14"/>
  <c r="CM59" i="14" s="1"/>
  <c r="CO59" i="14" s="1"/>
  <c r="BQ59" i="14"/>
  <c r="BO59" i="14"/>
  <c r="BM59" i="14"/>
  <c r="BK59" i="14"/>
  <c r="BI59" i="14"/>
  <c r="BG59" i="14"/>
  <c r="BF59" i="14"/>
  <c r="AW59" i="14"/>
  <c r="AU59" i="14"/>
  <c r="AS59" i="14"/>
  <c r="AQ59" i="14"/>
  <c r="AO59" i="14"/>
  <c r="AM59" i="14"/>
  <c r="AK59" i="14"/>
  <c r="AI59" i="14"/>
  <c r="AG59" i="14"/>
  <c r="AE59" i="14"/>
  <c r="AC59" i="14"/>
  <c r="AA59" i="14"/>
  <c r="U59" i="14"/>
  <c r="S59" i="14"/>
  <c r="Q59" i="14"/>
  <c r="O59" i="14"/>
  <c r="N59" i="14"/>
  <c r="DQ58" i="14"/>
  <c r="DP58" i="14"/>
  <c r="DL58" i="14"/>
  <c r="DK58" i="14"/>
  <c r="DM58" i="14" s="1"/>
  <c r="DJ58" i="14"/>
  <c r="DI58" i="14"/>
  <c r="DH58" i="14"/>
  <c r="DE58" i="14"/>
  <c r="DD58" i="14"/>
  <c r="CZ58" i="14"/>
  <c r="CY58" i="14"/>
  <c r="DA58" i="14" s="1"/>
  <c r="CX58" i="14"/>
  <c r="CW58" i="14"/>
  <c r="CV58" i="14"/>
  <c r="CS58" i="14"/>
  <c r="CR58" i="14"/>
  <c r="CM58" i="14"/>
  <c r="CO58" i="14" s="1"/>
  <c r="CL58" i="14"/>
  <c r="CK58" i="14"/>
  <c r="CJ58" i="14"/>
  <c r="CG58" i="14"/>
  <c r="CF58" i="14"/>
  <c r="CC58" i="14"/>
  <c r="CB58" i="14"/>
  <c r="BY58" i="14"/>
  <c r="BV58" i="14"/>
  <c r="BX58" i="14" s="1"/>
  <c r="BU58" i="14"/>
  <c r="BS58" i="14"/>
  <c r="BQ58" i="14"/>
  <c r="BP58" i="14"/>
  <c r="BM58" i="14"/>
  <c r="BL58" i="14"/>
  <c r="BI58" i="14"/>
  <c r="BH58" i="14"/>
  <c r="BE58" i="14"/>
  <c r="BB58" i="14"/>
  <c r="BA58" i="14"/>
  <c r="AY58" i="14"/>
  <c r="AX58" i="14"/>
  <c r="AW58" i="14"/>
  <c r="AV58" i="14"/>
  <c r="AS58" i="14"/>
  <c r="AR58" i="14"/>
  <c r="AO58" i="14"/>
  <c r="AN58" i="14"/>
  <c r="AK58" i="14"/>
  <c r="AJ58" i="14"/>
  <c r="AG58" i="14"/>
  <c r="AF58" i="14"/>
  <c r="AC58" i="14"/>
  <c r="AB58" i="14"/>
  <c r="Y58" i="14"/>
  <c r="V58" i="14"/>
  <c r="X58" i="14" s="1"/>
  <c r="U58" i="14"/>
  <c r="T58" i="14"/>
  <c r="Q58" i="14"/>
  <c r="P58" i="14"/>
  <c r="M58" i="14"/>
  <c r="L58" i="14"/>
  <c r="J58" i="14"/>
  <c r="I58" i="14"/>
  <c r="H58" i="14"/>
  <c r="E58" i="14"/>
  <c r="B58" i="14"/>
  <c r="D58" i="14" s="1"/>
  <c r="DQ57" i="14"/>
  <c r="DP57" i="14"/>
  <c r="DK57" i="14"/>
  <c r="DM57" i="14" s="1"/>
  <c r="DJ57" i="14"/>
  <c r="DI57" i="14"/>
  <c r="DH57" i="14"/>
  <c r="DE57" i="14"/>
  <c r="DD57" i="14"/>
  <c r="CY57" i="14"/>
  <c r="DA57" i="14" s="1"/>
  <c r="CX57" i="14"/>
  <c r="CW57" i="14"/>
  <c r="CV57" i="14"/>
  <c r="CS57" i="14"/>
  <c r="CR57" i="14"/>
  <c r="CM57" i="14"/>
  <c r="CO57" i="14" s="1"/>
  <c r="CL57" i="14"/>
  <c r="CK57" i="14"/>
  <c r="CJ57" i="14"/>
  <c r="CG57" i="14"/>
  <c r="CF57" i="14"/>
  <c r="CA57" i="14"/>
  <c r="CC57" i="14" s="1"/>
  <c r="BZ57" i="14"/>
  <c r="BY57" i="14"/>
  <c r="BX57" i="14"/>
  <c r="BU57" i="14"/>
  <c r="BT57" i="14"/>
  <c r="BS57" i="14"/>
  <c r="BR57" i="14"/>
  <c r="BQ57" i="14"/>
  <c r="BP57" i="14"/>
  <c r="BM57" i="14"/>
  <c r="BL57" i="14"/>
  <c r="BI57" i="14"/>
  <c r="BH57" i="14"/>
  <c r="BE57" i="14"/>
  <c r="BD57" i="14"/>
  <c r="BA57" i="14"/>
  <c r="AZ57" i="14"/>
  <c r="AY57" i="14"/>
  <c r="AX57" i="14"/>
  <c r="AW57" i="14"/>
  <c r="AV57" i="14"/>
  <c r="AS57" i="14"/>
  <c r="AR57" i="14"/>
  <c r="AO57" i="14"/>
  <c r="AN57" i="14"/>
  <c r="AK57" i="14"/>
  <c r="AJ57" i="14"/>
  <c r="AG57" i="14"/>
  <c r="AF57" i="14"/>
  <c r="AC57" i="14"/>
  <c r="AB57" i="14"/>
  <c r="Y57" i="14"/>
  <c r="X57" i="14"/>
  <c r="U57" i="14"/>
  <c r="T57" i="14"/>
  <c r="Q57" i="14"/>
  <c r="P57" i="14"/>
  <c r="M57" i="14"/>
  <c r="L57" i="14"/>
  <c r="I57" i="14"/>
  <c r="H57" i="14"/>
  <c r="E57" i="14"/>
  <c r="B57" i="14"/>
  <c r="DQ56" i="14"/>
  <c r="DP56" i="14"/>
  <c r="DM56" i="14"/>
  <c r="DK56" i="14"/>
  <c r="DI56" i="14"/>
  <c r="DH56" i="14"/>
  <c r="DF56" i="14"/>
  <c r="DJ56" i="14" s="1"/>
  <c r="DL56" i="14" s="1"/>
  <c r="DE56" i="14"/>
  <c r="DD56" i="14"/>
  <c r="DA56" i="14"/>
  <c r="CY56" i="14"/>
  <c r="CX56" i="14"/>
  <c r="CZ56" i="14" s="1"/>
  <c r="CW56" i="14"/>
  <c r="CV56" i="14"/>
  <c r="CT56" i="14"/>
  <c r="CS56" i="14"/>
  <c r="CR56" i="14"/>
  <c r="CP56" i="14"/>
  <c r="CM56" i="14"/>
  <c r="CO56" i="14" s="1"/>
  <c r="CL56" i="14"/>
  <c r="CK56" i="14"/>
  <c r="CJ56" i="14"/>
  <c r="CG56" i="14"/>
  <c r="CF56" i="14"/>
  <c r="CD56" i="14"/>
  <c r="CC56" i="14"/>
  <c r="CB56" i="14"/>
  <c r="BZ56" i="14"/>
  <c r="BY56" i="14"/>
  <c r="BV56" i="14"/>
  <c r="BX56" i="14" s="1"/>
  <c r="BU56" i="14"/>
  <c r="BS56" i="14"/>
  <c r="BQ56" i="14"/>
  <c r="BN56" i="14"/>
  <c r="BP56" i="14" s="1"/>
  <c r="BM56" i="14"/>
  <c r="BL56" i="14"/>
  <c r="BJ56" i="14"/>
  <c r="BI56" i="14"/>
  <c r="BH56" i="14"/>
  <c r="BF56" i="14"/>
  <c r="BE56" i="14"/>
  <c r="BD56" i="14"/>
  <c r="BB56" i="14"/>
  <c r="BR56" i="14" s="1"/>
  <c r="BT56" i="14" s="1"/>
  <c r="AY56" i="14"/>
  <c r="BA56" i="14" s="1"/>
  <c r="AW56" i="14"/>
  <c r="AT56" i="14"/>
  <c r="AV56" i="14" s="1"/>
  <c r="AS56" i="14"/>
  <c r="AR56" i="14"/>
  <c r="AP56" i="14"/>
  <c r="AO56" i="14"/>
  <c r="AN56" i="14"/>
  <c r="AL56" i="14"/>
  <c r="AK56" i="14"/>
  <c r="AH56" i="14"/>
  <c r="AJ56" i="14" s="1"/>
  <c r="AG56" i="14"/>
  <c r="AF56" i="14"/>
  <c r="AD56" i="14"/>
  <c r="AC56" i="14"/>
  <c r="AB56" i="14"/>
  <c r="Z56" i="14"/>
  <c r="Y56" i="14"/>
  <c r="X56" i="14"/>
  <c r="V56" i="14"/>
  <c r="AX56" i="14" s="1"/>
  <c r="AZ56" i="14" s="1"/>
  <c r="U56" i="14"/>
  <c r="R56" i="14"/>
  <c r="T56" i="14" s="1"/>
  <c r="Q56" i="14"/>
  <c r="P56" i="14"/>
  <c r="M56" i="14"/>
  <c r="J56" i="14"/>
  <c r="L56" i="14" s="1"/>
  <c r="I56" i="14"/>
  <c r="F56" i="14"/>
  <c r="E56" i="14"/>
  <c r="D56" i="14"/>
  <c r="B56" i="14"/>
  <c r="DQ55" i="14"/>
  <c r="DP55" i="14"/>
  <c r="DK55" i="14"/>
  <c r="DM55" i="14" s="1"/>
  <c r="DJ55" i="14"/>
  <c r="DL55" i="14" s="1"/>
  <c r="DI55" i="14"/>
  <c r="DH55" i="14"/>
  <c r="DE55" i="14"/>
  <c r="DD55" i="14"/>
  <c r="CY55" i="14"/>
  <c r="DA55" i="14" s="1"/>
  <c r="CX55" i="14"/>
  <c r="CW55" i="14"/>
  <c r="CV55" i="14"/>
  <c r="CS55" i="14"/>
  <c r="CR55" i="14"/>
  <c r="CM55" i="14"/>
  <c r="CO55" i="14" s="1"/>
  <c r="CL55" i="14"/>
  <c r="CN55" i="14" s="1"/>
  <c r="CK55" i="14"/>
  <c r="CJ55" i="14"/>
  <c r="CG55" i="14"/>
  <c r="CF55" i="14"/>
  <c r="CC55" i="14"/>
  <c r="CB55" i="14"/>
  <c r="BY55" i="14"/>
  <c r="BX55" i="14"/>
  <c r="BS55" i="14"/>
  <c r="BU55" i="14" s="1"/>
  <c r="BR55" i="14"/>
  <c r="BQ55" i="14"/>
  <c r="BP55" i="14"/>
  <c r="BM55" i="14"/>
  <c r="BL55" i="14"/>
  <c r="BI55" i="14"/>
  <c r="BH55" i="14"/>
  <c r="BE55" i="14"/>
  <c r="BD55" i="14"/>
  <c r="AY55" i="14"/>
  <c r="AX55" i="14"/>
  <c r="AZ55" i="14" s="1"/>
  <c r="AW55" i="14"/>
  <c r="AV55" i="14"/>
  <c r="AS55" i="14"/>
  <c r="AR55" i="14"/>
  <c r="AO55" i="14"/>
  <c r="AN55" i="14"/>
  <c r="AK55" i="14"/>
  <c r="AJ55" i="14"/>
  <c r="AG55" i="14"/>
  <c r="AF55" i="14"/>
  <c r="AC55" i="14"/>
  <c r="AB55" i="14"/>
  <c r="Y55" i="14"/>
  <c r="X55" i="14"/>
  <c r="U55" i="14"/>
  <c r="T55" i="14"/>
  <c r="Q55" i="14"/>
  <c r="P55" i="14"/>
  <c r="M55" i="14"/>
  <c r="L55" i="14"/>
  <c r="I55" i="14"/>
  <c r="H55" i="14"/>
  <c r="E55" i="14"/>
  <c r="D55" i="14"/>
  <c r="B55" i="14"/>
  <c r="DR55" i="14" s="1"/>
  <c r="DQ54" i="14"/>
  <c r="DP54" i="14"/>
  <c r="DM54" i="14"/>
  <c r="DK54" i="14"/>
  <c r="DJ54" i="14"/>
  <c r="DL54" i="14" s="1"/>
  <c r="DI54" i="14"/>
  <c r="DH54" i="14"/>
  <c r="DF54" i="14"/>
  <c r="DE54" i="14"/>
  <c r="DD54" i="14"/>
  <c r="CU54" i="14"/>
  <c r="CT54" i="14"/>
  <c r="CS54" i="14"/>
  <c r="CP54" i="14"/>
  <c r="CO54" i="14"/>
  <c r="CM54" i="14"/>
  <c r="CL54" i="14"/>
  <c r="CN54" i="14" s="1"/>
  <c r="CK54" i="14"/>
  <c r="CJ54" i="14"/>
  <c r="CG54" i="14"/>
  <c r="CF54" i="14"/>
  <c r="CD54" i="14"/>
  <c r="CD59" i="14" s="1"/>
  <c r="CA54" i="14"/>
  <c r="BZ54" i="14"/>
  <c r="CB54" i="14" s="1"/>
  <c r="BW54" i="14"/>
  <c r="BV54" i="14"/>
  <c r="BS54" i="14"/>
  <c r="BR54" i="14"/>
  <c r="BT54" i="14" s="1"/>
  <c r="BQ54" i="14"/>
  <c r="BN54" i="14"/>
  <c r="BM54" i="14"/>
  <c r="BL54" i="14"/>
  <c r="BJ54" i="14"/>
  <c r="BJ59" i="14" s="1"/>
  <c r="BI54" i="14"/>
  <c r="BH54" i="14"/>
  <c r="BF54" i="14"/>
  <c r="BD54" i="14"/>
  <c r="BC54" i="14"/>
  <c r="BB54" i="14"/>
  <c r="BB59" i="14" s="1"/>
  <c r="AY54" i="14"/>
  <c r="AW54" i="14"/>
  <c r="AT54" i="14"/>
  <c r="AT59" i="14" s="1"/>
  <c r="AS54" i="14"/>
  <c r="AP54" i="14"/>
  <c r="AO54" i="14"/>
  <c r="AN54" i="14"/>
  <c r="AL54" i="14"/>
  <c r="AL59" i="14" s="1"/>
  <c r="AK54" i="14"/>
  <c r="AJ54" i="14"/>
  <c r="AH54" i="14"/>
  <c r="AG54" i="14"/>
  <c r="AD54" i="14"/>
  <c r="AF54" i="14" s="1"/>
  <c r="AC54" i="14"/>
  <c r="Z54" i="14"/>
  <c r="W54" i="14"/>
  <c r="W59" i="14" s="1"/>
  <c r="AY59" i="14" s="1"/>
  <c r="V54" i="14"/>
  <c r="U54" i="14"/>
  <c r="T54" i="14"/>
  <c r="R54" i="14"/>
  <c r="Q54" i="14"/>
  <c r="P54" i="14"/>
  <c r="K54" i="14"/>
  <c r="J54" i="14"/>
  <c r="L54" i="14" s="1"/>
  <c r="G54" i="14"/>
  <c r="F54" i="14"/>
  <c r="C54" i="14"/>
  <c r="B54" i="14"/>
  <c r="DS53" i="14"/>
  <c r="DU53" i="14" s="1"/>
  <c r="DR53" i="14"/>
  <c r="DQ53" i="14"/>
  <c r="DP53" i="14"/>
  <c r="DM53" i="14"/>
  <c r="DL53" i="14"/>
  <c r="DK53" i="14"/>
  <c r="DJ53" i="14"/>
  <c r="DI53" i="14"/>
  <c r="DH53" i="14"/>
  <c r="DE53" i="14"/>
  <c r="DD53" i="14"/>
  <c r="DA53" i="14"/>
  <c r="CZ53" i="14"/>
  <c r="CY53" i="14"/>
  <c r="CX53" i="14"/>
  <c r="CW53" i="14"/>
  <c r="CV53" i="14"/>
  <c r="CS53" i="14"/>
  <c r="CR53" i="14"/>
  <c r="CO53" i="14"/>
  <c r="CN53" i="14"/>
  <c r="CM53" i="14"/>
  <c r="CL53" i="14"/>
  <c r="CK53" i="14"/>
  <c r="CJ53" i="14"/>
  <c r="CG53" i="14"/>
  <c r="CF53" i="14"/>
  <c r="CC53" i="14"/>
  <c r="CB53" i="14"/>
  <c r="BY53" i="14"/>
  <c r="BX53" i="14"/>
  <c r="BU53" i="14"/>
  <c r="BT53" i="14"/>
  <c r="BS53" i="14"/>
  <c r="BR53" i="14"/>
  <c r="BQ53" i="14"/>
  <c r="BP53" i="14"/>
  <c r="BM53" i="14"/>
  <c r="BL53" i="14"/>
  <c r="BI53" i="14"/>
  <c r="BH53" i="14"/>
  <c r="BE53" i="14"/>
  <c r="BD53" i="14"/>
  <c r="BA53" i="14"/>
  <c r="AZ53" i="14"/>
  <c r="AY53" i="14"/>
  <c r="AX53" i="14"/>
  <c r="AW53" i="14"/>
  <c r="AV53" i="14"/>
  <c r="AS53" i="14"/>
  <c r="AR53" i="14"/>
  <c r="AO53" i="14"/>
  <c r="AN53" i="14"/>
  <c r="AK53" i="14"/>
  <c r="AJ53" i="14"/>
  <c r="AG53" i="14"/>
  <c r="AF53" i="14"/>
  <c r="AC53" i="14"/>
  <c r="AB53" i="14"/>
  <c r="Y53" i="14"/>
  <c r="X53" i="14"/>
  <c r="U53" i="14"/>
  <c r="T53" i="14"/>
  <c r="Q53" i="14"/>
  <c r="P53" i="14"/>
  <c r="M53" i="14"/>
  <c r="L53" i="14"/>
  <c r="I53" i="14"/>
  <c r="H53" i="14"/>
  <c r="E53" i="14"/>
  <c r="D53" i="14"/>
  <c r="DQ52" i="14"/>
  <c r="DP52" i="14"/>
  <c r="DK52" i="14"/>
  <c r="DM52" i="14" s="1"/>
  <c r="DJ52" i="14"/>
  <c r="DI52" i="14"/>
  <c r="DH52" i="14"/>
  <c r="DE52" i="14"/>
  <c r="DD52" i="14"/>
  <c r="CY52" i="14"/>
  <c r="DA52" i="14" s="1"/>
  <c r="CX52" i="14"/>
  <c r="CZ52" i="14" s="1"/>
  <c r="CW52" i="14"/>
  <c r="CT52" i="14"/>
  <c r="CV52" i="14" s="1"/>
  <c r="CS52" i="14"/>
  <c r="CR52" i="14"/>
  <c r="CN52" i="14"/>
  <c r="CM52" i="14"/>
  <c r="CO52" i="14" s="1"/>
  <c r="CL52" i="14"/>
  <c r="CK52" i="14"/>
  <c r="CJ52" i="14"/>
  <c r="CG52" i="14"/>
  <c r="CF52" i="14"/>
  <c r="CC52" i="14"/>
  <c r="CB52" i="14"/>
  <c r="BZ52" i="14"/>
  <c r="BY52" i="14"/>
  <c r="BV52" i="14"/>
  <c r="BX52" i="14" s="1"/>
  <c r="BR52" i="14"/>
  <c r="BQ52" i="14"/>
  <c r="BP52" i="14"/>
  <c r="BM52" i="14"/>
  <c r="BL52" i="14"/>
  <c r="BI52" i="14"/>
  <c r="BH52" i="14"/>
  <c r="BD52" i="14"/>
  <c r="BC52" i="14"/>
  <c r="AX52" i="14"/>
  <c r="AW52" i="14"/>
  <c r="AV52" i="14"/>
  <c r="AS52" i="14"/>
  <c r="AR52" i="14"/>
  <c r="AO52" i="14"/>
  <c r="AN52" i="14"/>
  <c r="AK52" i="14"/>
  <c r="AJ52" i="14"/>
  <c r="AG52" i="14"/>
  <c r="AF52" i="14"/>
  <c r="AC52" i="14"/>
  <c r="AB52" i="14"/>
  <c r="W52" i="14"/>
  <c r="Y52" i="14" s="1"/>
  <c r="V52" i="14"/>
  <c r="U52" i="14"/>
  <c r="T52" i="14"/>
  <c r="Q52" i="14"/>
  <c r="P52" i="14"/>
  <c r="M52" i="14"/>
  <c r="J52" i="14"/>
  <c r="L52" i="14" s="1"/>
  <c r="I52" i="14"/>
  <c r="H52" i="14"/>
  <c r="C52" i="14"/>
  <c r="B52" i="14"/>
  <c r="DR52" i="14" s="1"/>
  <c r="DO51" i="14"/>
  <c r="DQ51" i="14" s="1"/>
  <c r="DN51" i="14"/>
  <c r="DG51" i="14"/>
  <c r="DI51" i="14" s="1"/>
  <c r="DC51" i="14"/>
  <c r="DE51" i="14" s="1"/>
  <c r="DB51" i="14"/>
  <c r="CU51" i="14"/>
  <c r="CW51" i="14" s="1"/>
  <c r="CQ51" i="14"/>
  <c r="CS51" i="14" s="1"/>
  <c r="CI51" i="14"/>
  <c r="CK51" i="14" s="1"/>
  <c r="CE51" i="14"/>
  <c r="CG51" i="14" s="1"/>
  <c r="CA51" i="14"/>
  <c r="BW51" i="14"/>
  <c r="BY51" i="14" s="1"/>
  <c r="BO51" i="14"/>
  <c r="BQ51" i="14" s="1"/>
  <c r="BN51" i="14"/>
  <c r="BK51" i="14"/>
  <c r="BM51" i="14" s="1"/>
  <c r="BH51" i="14"/>
  <c r="BG51" i="14"/>
  <c r="BI51" i="14" s="1"/>
  <c r="BF51" i="14"/>
  <c r="BC51" i="14"/>
  <c r="BS51" i="14" s="1"/>
  <c r="AU51" i="14"/>
  <c r="AW51" i="14" s="1"/>
  <c r="AT51" i="14"/>
  <c r="AQ51" i="14"/>
  <c r="AS51" i="14" s="1"/>
  <c r="AP51" i="14"/>
  <c r="AN51" i="14"/>
  <c r="AM51" i="14"/>
  <c r="AO51" i="14" s="1"/>
  <c r="AL51" i="14"/>
  <c r="AJ51" i="14"/>
  <c r="AI51" i="14"/>
  <c r="AK51" i="14" s="1"/>
  <c r="AH51" i="14"/>
  <c r="AE51" i="14"/>
  <c r="AG51" i="14" s="1"/>
  <c r="AD51" i="14"/>
  <c r="AA51" i="14"/>
  <c r="AC51" i="14" s="1"/>
  <c r="Z51" i="14"/>
  <c r="S51" i="14"/>
  <c r="U51" i="14" s="1"/>
  <c r="P51" i="14"/>
  <c r="O51" i="14"/>
  <c r="Q51" i="14" s="1"/>
  <c r="N51" i="14"/>
  <c r="C51" i="14"/>
  <c r="E51" i="14" s="1"/>
  <c r="DQ50" i="14"/>
  <c r="DP50" i="14"/>
  <c r="DM50" i="14"/>
  <c r="DK50" i="14"/>
  <c r="DJ50" i="14"/>
  <c r="DL50" i="14" s="1"/>
  <c r="DI50" i="14"/>
  <c r="DH50" i="14"/>
  <c r="DE50" i="14"/>
  <c r="DD50" i="14"/>
  <c r="DA50" i="14"/>
  <c r="CY50" i="14"/>
  <c r="CX50" i="14"/>
  <c r="CZ50" i="14" s="1"/>
  <c r="CW50" i="14"/>
  <c r="CV50" i="14"/>
  <c r="CS50" i="14"/>
  <c r="CR50" i="14"/>
  <c r="CO50" i="14"/>
  <c r="CM50" i="14"/>
  <c r="CK50" i="14"/>
  <c r="CJ50" i="14"/>
  <c r="CG50" i="14"/>
  <c r="CD50" i="14"/>
  <c r="CL50" i="14" s="1"/>
  <c r="CN50" i="14" s="1"/>
  <c r="CC50" i="14"/>
  <c r="BZ50" i="14"/>
  <c r="CB50" i="14" s="1"/>
  <c r="BY50" i="14"/>
  <c r="BX50" i="14"/>
  <c r="BT50" i="14"/>
  <c r="BS50" i="14"/>
  <c r="BU50" i="14" s="1"/>
  <c r="BR50" i="14"/>
  <c r="BQ50" i="14"/>
  <c r="BP50" i="14"/>
  <c r="BM50" i="14"/>
  <c r="BL50" i="14"/>
  <c r="BI50" i="14"/>
  <c r="BH50" i="14"/>
  <c r="BE50" i="14"/>
  <c r="BD50" i="14"/>
  <c r="AY50" i="14"/>
  <c r="BA50" i="14" s="1"/>
  <c r="AX50" i="14"/>
  <c r="AW50" i="14"/>
  <c r="AV50" i="14"/>
  <c r="AS50" i="14"/>
  <c r="AR50" i="14"/>
  <c r="AO50" i="14"/>
  <c r="AN50" i="14"/>
  <c r="AK50" i="14"/>
  <c r="AJ50" i="14"/>
  <c r="AG50" i="14"/>
  <c r="AF50" i="14"/>
  <c r="AC50" i="14"/>
  <c r="AB50" i="14"/>
  <c r="Y50" i="14"/>
  <c r="X50" i="14"/>
  <c r="U50" i="14"/>
  <c r="T50" i="14"/>
  <c r="Q50" i="14"/>
  <c r="P50" i="14"/>
  <c r="M50" i="14"/>
  <c r="L50" i="14"/>
  <c r="I50" i="14"/>
  <c r="H50" i="14"/>
  <c r="E50" i="14"/>
  <c r="D50" i="14"/>
  <c r="DQ49" i="14"/>
  <c r="DP49" i="14"/>
  <c r="DM49" i="14"/>
  <c r="DK49" i="14"/>
  <c r="DJ49" i="14"/>
  <c r="DL49" i="14" s="1"/>
  <c r="DI49" i="14"/>
  <c r="DH49" i="14"/>
  <c r="DE49" i="14"/>
  <c r="DD49" i="14"/>
  <c r="DA49" i="14"/>
  <c r="CY49" i="14"/>
  <c r="CX49" i="14"/>
  <c r="CZ49" i="14" s="1"/>
  <c r="CW49" i="14"/>
  <c r="CV49" i="14"/>
  <c r="CS49" i="14"/>
  <c r="CR49" i="14"/>
  <c r="CO49" i="14"/>
  <c r="CM49" i="14"/>
  <c r="CL49" i="14"/>
  <c r="CN49" i="14" s="1"/>
  <c r="CK49" i="14"/>
  <c r="CJ49" i="14"/>
  <c r="CG49" i="14"/>
  <c r="CF49" i="14"/>
  <c r="CC49" i="14"/>
  <c r="CB49" i="14"/>
  <c r="BY49" i="14"/>
  <c r="BX49" i="14"/>
  <c r="BU49" i="14"/>
  <c r="BS49" i="14"/>
  <c r="BR49" i="14"/>
  <c r="BT49" i="14" s="1"/>
  <c r="BQ49" i="14"/>
  <c r="BP49" i="14"/>
  <c r="BM49" i="14"/>
  <c r="BL49" i="14"/>
  <c r="BI49" i="14"/>
  <c r="BH49" i="14"/>
  <c r="BE49" i="14"/>
  <c r="BD49" i="14"/>
  <c r="BA49" i="14"/>
  <c r="AY49" i="14"/>
  <c r="AX49" i="14"/>
  <c r="AZ49" i="14" s="1"/>
  <c r="AW49" i="14"/>
  <c r="AV49" i="14"/>
  <c r="AS49" i="14"/>
  <c r="AR49" i="14"/>
  <c r="AO49" i="14"/>
  <c r="AN49" i="14"/>
  <c r="AK49" i="14"/>
  <c r="AJ49" i="14"/>
  <c r="AG49" i="14"/>
  <c r="AF49" i="14"/>
  <c r="AC49" i="14"/>
  <c r="AB49" i="14"/>
  <c r="Y49" i="14"/>
  <c r="X49" i="14"/>
  <c r="U49" i="14"/>
  <c r="T49" i="14"/>
  <c r="Q49" i="14"/>
  <c r="P49" i="14"/>
  <c r="K49" i="14"/>
  <c r="M49" i="14" s="1"/>
  <c r="I49" i="14"/>
  <c r="F49" i="14"/>
  <c r="E49" i="14"/>
  <c r="D49" i="14"/>
  <c r="DQ48" i="14"/>
  <c r="DP48" i="14"/>
  <c r="DM48" i="14"/>
  <c r="DK48" i="14"/>
  <c r="DJ48" i="14"/>
  <c r="DL48" i="14" s="1"/>
  <c r="DI48" i="14"/>
  <c r="DH48" i="14"/>
  <c r="DE48" i="14"/>
  <c r="DD48" i="14"/>
  <c r="DA48" i="14"/>
  <c r="CY48" i="14"/>
  <c r="CX48" i="14"/>
  <c r="CZ48" i="14" s="1"/>
  <c r="CW48" i="14"/>
  <c r="CV48" i="14"/>
  <c r="CS48" i="14"/>
  <c r="CR48" i="14"/>
  <c r="CO48" i="14"/>
  <c r="CM48" i="14"/>
  <c r="CL48" i="14"/>
  <c r="CN48" i="14" s="1"/>
  <c r="CK48" i="14"/>
  <c r="CJ48" i="14"/>
  <c r="CH48" i="14"/>
  <c r="CH51" i="14" s="1"/>
  <c r="CJ51" i="14" s="1"/>
  <c r="CG48" i="14"/>
  <c r="CF48" i="14"/>
  <c r="CC48" i="14"/>
  <c r="CB48" i="14"/>
  <c r="BY48" i="14"/>
  <c r="BX48" i="14"/>
  <c r="BS48" i="14"/>
  <c r="BU48" i="14" s="1"/>
  <c r="BR48" i="14"/>
  <c r="BT48" i="14" s="1"/>
  <c r="BQ48" i="14"/>
  <c r="BP48" i="14"/>
  <c r="BM48" i="14"/>
  <c r="BL48" i="14"/>
  <c r="BI48" i="14"/>
  <c r="BH48" i="14"/>
  <c r="BE48" i="14"/>
  <c r="BD48" i="14"/>
  <c r="AY48" i="14"/>
  <c r="BA48" i="14" s="1"/>
  <c r="AX48" i="14"/>
  <c r="AW48" i="14"/>
  <c r="AV48" i="14"/>
  <c r="AS48" i="14"/>
  <c r="AR48" i="14"/>
  <c r="AO48" i="14"/>
  <c r="AN48" i="14"/>
  <c r="AK48" i="14"/>
  <c r="AJ48" i="14"/>
  <c r="AG48" i="14"/>
  <c r="AF48" i="14"/>
  <c r="AC48" i="14"/>
  <c r="AB48" i="14"/>
  <c r="Y48" i="14"/>
  <c r="X48" i="14"/>
  <c r="U48" i="14"/>
  <c r="T48" i="14"/>
  <c r="Q48" i="14"/>
  <c r="P48" i="14"/>
  <c r="M48" i="14"/>
  <c r="L48" i="14"/>
  <c r="I48" i="14"/>
  <c r="H48" i="14"/>
  <c r="E48" i="14"/>
  <c r="D48" i="14"/>
  <c r="DS47" i="14"/>
  <c r="DR47" i="14"/>
  <c r="DT47" i="14" s="1"/>
  <c r="DQ47" i="14"/>
  <c r="DP47" i="14"/>
  <c r="DM47" i="14"/>
  <c r="DL47" i="14"/>
  <c r="DK47" i="14"/>
  <c r="DJ47" i="14"/>
  <c r="DI47" i="14"/>
  <c r="DH47" i="14"/>
  <c r="DE47" i="14"/>
  <c r="DD47" i="14"/>
  <c r="DA47" i="14"/>
  <c r="CZ47" i="14"/>
  <c r="CY47" i="14"/>
  <c r="CX47" i="14"/>
  <c r="CW47" i="14"/>
  <c r="CV47" i="14"/>
  <c r="CS47" i="14"/>
  <c r="CR47" i="14"/>
  <c r="CO47" i="14"/>
  <c r="CN47" i="14"/>
  <c r="CM47" i="14"/>
  <c r="CL47" i="14"/>
  <c r="CK47" i="14"/>
  <c r="CJ47" i="14"/>
  <c r="CG47" i="14"/>
  <c r="CF47" i="14"/>
  <c r="CC47" i="14"/>
  <c r="CB47" i="14"/>
  <c r="BY47" i="14"/>
  <c r="BX47" i="14"/>
  <c r="BU47" i="14"/>
  <c r="BT47" i="14"/>
  <c r="BS47" i="14"/>
  <c r="BR47" i="14"/>
  <c r="BQ47" i="14"/>
  <c r="BP47" i="14"/>
  <c r="BM47" i="14"/>
  <c r="BL47" i="14"/>
  <c r="BI47" i="14"/>
  <c r="BH47" i="14"/>
  <c r="BE47" i="14"/>
  <c r="BD47" i="14"/>
  <c r="BA47" i="14"/>
  <c r="AZ47" i="14"/>
  <c r="AY47" i="14"/>
  <c r="AX47" i="14"/>
  <c r="AW47" i="14"/>
  <c r="AV47" i="14"/>
  <c r="AS47" i="14"/>
  <c r="AR47" i="14"/>
  <c r="AO47" i="14"/>
  <c r="AN47" i="14"/>
  <c r="AK47" i="14"/>
  <c r="AJ47" i="14"/>
  <c r="AG47" i="14"/>
  <c r="AF47" i="14"/>
  <c r="AC47" i="14"/>
  <c r="AB47" i="14"/>
  <c r="Y47" i="14"/>
  <c r="X47" i="14"/>
  <c r="U47" i="14"/>
  <c r="T47" i="14"/>
  <c r="Q47" i="14"/>
  <c r="P47" i="14"/>
  <c r="K47" i="14"/>
  <c r="I47" i="14"/>
  <c r="H47" i="14"/>
  <c r="E47" i="14"/>
  <c r="D47" i="14"/>
  <c r="DQ46" i="14"/>
  <c r="DP46" i="14"/>
  <c r="DK46" i="14"/>
  <c r="DM46" i="14" s="1"/>
  <c r="DI46" i="14"/>
  <c r="DH46" i="14"/>
  <c r="DF46" i="14"/>
  <c r="DE46" i="14"/>
  <c r="DD46" i="14"/>
  <c r="CW46" i="14"/>
  <c r="CV46" i="14"/>
  <c r="CU46" i="14"/>
  <c r="CY46" i="14" s="1"/>
  <c r="CT46" i="14"/>
  <c r="CT51" i="14" s="1"/>
  <c r="CS46" i="14"/>
  <c r="CR46" i="14"/>
  <c r="CP46" i="14"/>
  <c r="CP51" i="14" s="1"/>
  <c r="CX51" i="14" s="1"/>
  <c r="CM46" i="14"/>
  <c r="CO46" i="14" s="1"/>
  <c r="CL46" i="14"/>
  <c r="CK46" i="14"/>
  <c r="CJ46" i="14"/>
  <c r="CG46" i="14"/>
  <c r="CF46" i="14"/>
  <c r="CD46" i="14"/>
  <c r="CC46" i="14"/>
  <c r="CB46" i="14"/>
  <c r="CA46" i="14"/>
  <c r="BZ46" i="14"/>
  <c r="BZ51" i="14" s="1"/>
  <c r="CB51" i="14" s="1"/>
  <c r="BY46" i="14"/>
  <c r="BX46" i="14"/>
  <c r="BW46" i="14"/>
  <c r="BV46" i="14"/>
  <c r="BV51" i="14" s="1"/>
  <c r="BQ46" i="14"/>
  <c r="BP46" i="14"/>
  <c r="BM46" i="14"/>
  <c r="BJ46" i="14"/>
  <c r="BI46" i="14"/>
  <c r="BH46" i="14"/>
  <c r="BC46" i="14"/>
  <c r="BD46" i="14" s="1"/>
  <c r="BB46" i="14"/>
  <c r="BB51" i="14" s="1"/>
  <c r="BD51" i="14" s="1"/>
  <c r="AW46" i="14"/>
  <c r="AV46" i="14"/>
  <c r="AS46" i="14"/>
  <c r="AR46" i="14"/>
  <c r="AO46" i="14"/>
  <c r="AN46" i="14"/>
  <c r="AK46" i="14"/>
  <c r="AJ46" i="14"/>
  <c r="AG46" i="14"/>
  <c r="AF46" i="14"/>
  <c r="AC46" i="14"/>
  <c r="AB46" i="14"/>
  <c r="W46" i="14"/>
  <c r="Y46" i="14" s="1"/>
  <c r="V46" i="14"/>
  <c r="V51" i="14" s="1"/>
  <c r="AX51" i="14" s="1"/>
  <c r="U46" i="14"/>
  <c r="R46" i="14"/>
  <c r="R51" i="14" s="1"/>
  <c r="T51" i="14" s="1"/>
  <c r="Q46" i="14"/>
  <c r="P46" i="14"/>
  <c r="M46" i="14"/>
  <c r="L46" i="14"/>
  <c r="J46" i="14"/>
  <c r="J51" i="14" s="1"/>
  <c r="G46" i="14"/>
  <c r="H46" i="14" s="1"/>
  <c r="E46" i="14"/>
  <c r="B46" i="14"/>
  <c r="DQ45" i="14"/>
  <c r="DO45" i="14"/>
  <c r="DN45" i="14"/>
  <c r="DP45" i="14" s="1"/>
  <c r="DM45" i="14"/>
  <c r="DJ45" i="14"/>
  <c r="DL45" i="14" s="1"/>
  <c r="DI45" i="14"/>
  <c r="DG45" i="14"/>
  <c r="DF45" i="14"/>
  <c r="DH45" i="14" s="1"/>
  <c r="DE45" i="14"/>
  <c r="DC45" i="14"/>
  <c r="DK45" i="14" s="1"/>
  <c r="DB45" i="14"/>
  <c r="DD45" i="14" s="1"/>
  <c r="DA45" i="14"/>
  <c r="CX45" i="14"/>
  <c r="CZ45" i="14" s="1"/>
  <c r="CW45" i="14"/>
  <c r="CU45" i="14"/>
  <c r="CT45" i="14"/>
  <c r="CV45" i="14" s="1"/>
  <c r="CS45" i="14"/>
  <c r="CQ45" i="14"/>
  <c r="CY45" i="14" s="1"/>
  <c r="CP45" i="14"/>
  <c r="CR45" i="14" s="1"/>
  <c r="CO45" i="14"/>
  <c r="CL45" i="14"/>
  <c r="CN45" i="14" s="1"/>
  <c r="CK45" i="14"/>
  <c r="CI45" i="14"/>
  <c r="CH45" i="14"/>
  <c r="CJ45" i="14" s="1"/>
  <c r="CG45" i="14"/>
  <c r="CE45" i="14"/>
  <c r="CM45" i="14" s="1"/>
  <c r="CD45" i="14"/>
  <c r="CF45" i="14" s="1"/>
  <c r="CC45" i="14"/>
  <c r="CA45" i="14"/>
  <c r="BZ45" i="14"/>
  <c r="CB45" i="14" s="1"/>
  <c r="BY45" i="14"/>
  <c r="BW45" i="14"/>
  <c r="BV45" i="14"/>
  <c r="BX45" i="14" s="1"/>
  <c r="BQ45" i="14"/>
  <c r="BO45" i="14"/>
  <c r="BN45" i="14"/>
  <c r="BP45" i="14" s="1"/>
  <c r="BM45" i="14"/>
  <c r="BK45" i="14"/>
  <c r="BJ45" i="14"/>
  <c r="BL45" i="14" s="1"/>
  <c r="BI45" i="14"/>
  <c r="BG45" i="14"/>
  <c r="BF45" i="14"/>
  <c r="BH45" i="14" s="1"/>
  <c r="BE45" i="14"/>
  <c r="BC45" i="14"/>
  <c r="BS45" i="14" s="1"/>
  <c r="BU45" i="14" s="1"/>
  <c r="BB45" i="14"/>
  <c r="BD45" i="14" s="1"/>
  <c r="AW45" i="14"/>
  <c r="AU45" i="14"/>
  <c r="AT45" i="14"/>
  <c r="AV45" i="14" s="1"/>
  <c r="AS45" i="14"/>
  <c r="AQ45" i="14"/>
  <c r="AP45" i="14"/>
  <c r="AR45" i="14" s="1"/>
  <c r="AO45" i="14"/>
  <c r="AM45" i="14"/>
  <c r="AL45" i="14"/>
  <c r="AN45" i="14" s="1"/>
  <c r="AK45" i="14"/>
  <c r="AI45" i="14"/>
  <c r="AH45" i="14"/>
  <c r="AJ45" i="14" s="1"/>
  <c r="AG45" i="14"/>
  <c r="AE45" i="14"/>
  <c r="AD45" i="14"/>
  <c r="AF45" i="14" s="1"/>
  <c r="AC45" i="14"/>
  <c r="AA45" i="14"/>
  <c r="Z45" i="14"/>
  <c r="AB45" i="14" s="1"/>
  <c r="Y45" i="14"/>
  <c r="W45" i="14"/>
  <c r="AY45" i="14" s="1"/>
  <c r="BA45" i="14" s="1"/>
  <c r="V45" i="14"/>
  <c r="X45" i="14" s="1"/>
  <c r="U45" i="14"/>
  <c r="S45" i="14"/>
  <c r="R45" i="14"/>
  <c r="T45" i="14" s="1"/>
  <c r="Q45" i="14"/>
  <c r="O45" i="14"/>
  <c r="N45" i="14"/>
  <c r="P45" i="14" s="1"/>
  <c r="M45" i="14"/>
  <c r="K45" i="14"/>
  <c r="J45" i="14"/>
  <c r="L45" i="14" s="1"/>
  <c r="F45" i="14"/>
  <c r="E45" i="14"/>
  <c r="C45" i="14"/>
  <c r="B45" i="14"/>
  <c r="D45" i="14" s="1"/>
  <c r="DR44" i="14"/>
  <c r="DQ44" i="14"/>
  <c r="DP44" i="14"/>
  <c r="DL44" i="14"/>
  <c r="DK44" i="14"/>
  <c r="DM44" i="14" s="1"/>
  <c r="DJ44" i="14"/>
  <c r="DI44" i="14"/>
  <c r="DH44" i="14"/>
  <c r="DE44" i="14"/>
  <c r="DD44" i="14"/>
  <c r="CY44" i="14"/>
  <c r="DA44" i="14" s="1"/>
  <c r="CX44" i="14"/>
  <c r="CW44" i="14"/>
  <c r="CV44" i="14"/>
  <c r="CS44" i="14"/>
  <c r="CR44" i="14"/>
  <c r="CM44" i="14"/>
  <c r="CO44" i="14" s="1"/>
  <c r="CL44" i="14"/>
  <c r="CK44" i="14"/>
  <c r="CJ44" i="14"/>
  <c r="CG44" i="14"/>
  <c r="CF44" i="14"/>
  <c r="CC44" i="14"/>
  <c r="CB44" i="14"/>
  <c r="BY44" i="14"/>
  <c r="BX44" i="14"/>
  <c r="BT44" i="14"/>
  <c r="BS44" i="14"/>
  <c r="BU44" i="14" s="1"/>
  <c r="BR44" i="14"/>
  <c r="BQ44" i="14"/>
  <c r="BP44" i="14"/>
  <c r="BM44" i="14"/>
  <c r="BL44" i="14"/>
  <c r="BI44" i="14"/>
  <c r="BH44" i="14"/>
  <c r="BE44" i="14"/>
  <c r="BD44" i="14"/>
  <c r="AZ44" i="14"/>
  <c r="AY44" i="14"/>
  <c r="BA44" i="14" s="1"/>
  <c r="AX44" i="14"/>
  <c r="AW44" i="14"/>
  <c r="AV44" i="14"/>
  <c r="AS44" i="14"/>
  <c r="AR44" i="14"/>
  <c r="AO44" i="14"/>
  <c r="AN44" i="14"/>
  <c r="AK44" i="14"/>
  <c r="AJ44" i="14"/>
  <c r="AG44" i="14"/>
  <c r="AF44" i="14"/>
  <c r="AC44" i="14"/>
  <c r="AB44" i="14"/>
  <c r="Y44" i="14"/>
  <c r="X44" i="14"/>
  <c r="U44" i="14"/>
  <c r="T44" i="14"/>
  <c r="Q44" i="14"/>
  <c r="P44" i="14"/>
  <c r="M44" i="14"/>
  <c r="L44" i="14"/>
  <c r="G44" i="14"/>
  <c r="F44" i="14"/>
  <c r="E44" i="14"/>
  <c r="D44" i="14"/>
  <c r="DR43" i="14"/>
  <c r="DQ43" i="14"/>
  <c r="DP43" i="14"/>
  <c r="DL43" i="14"/>
  <c r="DK43" i="14"/>
  <c r="DM43" i="14" s="1"/>
  <c r="DJ43" i="14"/>
  <c r="DI43" i="14"/>
  <c r="DH43" i="14"/>
  <c r="DE43" i="14"/>
  <c r="DD43" i="14"/>
  <c r="CY43" i="14"/>
  <c r="DA43" i="14" s="1"/>
  <c r="CX43" i="14"/>
  <c r="CW43" i="14"/>
  <c r="CV43" i="14"/>
  <c r="CS43" i="14"/>
  <c r="CR43" i="14"/>
  <c r="CM43" i="14"/>
  <c r="CO43" i="14" s="1"/>
  <c r="CL43" i="14"/>
  <c r="CK43" i="14"/>
  <c r="CJ43" i="14"/>
  <c r="CG43" i="14"/>
  <c r="CF43" i="14"/>
  <c r="CC43" i="14"/>
  <c r="CB43" i="14"/>
  <c r="BY43" i="14"/>
  <c r="BX43" i="14"/>
  <c r="BT43" i="14"/>
  <c r="BS43" i="14"/>
  <c r="BU43" i="14" s="1"/>
  <c r="BR43" i="14"/>
  <c r="BQ43" i="14"/>
  <c r="BP43" i="14"/>
  <c r="BM43" i="14"/>
  <c r="BL43" i="14"/>
  <c r="BI43" i="14"/>
  <c r="BH43" i="14"/>
  <c r="BE43" i="14"/>
  <c r="BD43" i="14"/>
  <c r="AZ43" i="14"/>
  <c r="AY43" i="14"/>
  <c r="BA43" i="14" s="1"/>
  <c r="AX43" i="14"/>
  <c r="AW43" i="14"/>
  <c r="AV43" i="14"/>
  <c r="AS43" i="14"/>
  <c r="AR43" i="14"/>
  <c r="AO43" i="14"/>
  <c r="AN43" i="14"/>
  <c r="AK43" i="14"/>
  <c r="AJ43" i="14"/>
  <c r="AG43" i="14"/>
  <c r="AF43" i="14"/>
  <c r="AC43" i="14"/>
  <c r="AB43" i="14"/>
  <c r="Y43" i="14"/>
  <c r="X43" i="14"/>
  <c r="U43" i="14"/>
  <c r="T43" i="14"/>
  <c r="Q43" i="14"/>
  <c r="P43" i="14"/>
  <c r="M43" i="14"/>
  <c r="L43" i="14"/>
  <c r="G43" i="14"/>
  <c r="F43" i="14"/>
  <c r="E43" i="14"/>
  <c r="D43" i="14"/>
  <c r="DR42" i="14"/>
  <c r="DQ42" i="14"/>
  <c r="DP42" i="14"/>
  <c r="DL42" i="14"/>
  <c r="DK42" i="14"/>
  <c r="DM42" i="14" s="1"/>
  <c r="DJ42" i="14"/>
  <c r="DI42" i="14"/>
  <c r="DH42" i="14"/>
  <c r="DE42" i="14"/>
  <c r="DD42" i="14"/>
  <c r="CY42" i="14"/>
  <c r="DA42" i="14" s="1"/>
  <c r="CX42" i="14"/>
  <c r="CW42" i="14"/>
  <c r="CV42" i="14"/>
  <c r="CS42" i="14"/>
  <c r="CR42" i="14"/>
  <c r="CM42" i="14"/>
  <c r="CO42" i="14" s="1"/>
  <c r="CL42" i="14"/>
  <c r="CK42" i="14"/>
  <c r="CJ42" i="14"/>
  <c r="CG42" i="14"/>
  <c r="CF42" i="14"/>
  <c r="CC42" i="14"/>
  <c r="CB42" i="14"/>
  <c r="BY42" i="14"/>
  <c r="BX42" i="14"/>
  <c r="BT42" i="14"/>
  <c r="BS42" i="14"/>
  <c r="BU42" i="14" s="1"/>
  <c r="BR42" i="14"/>
  <c r="BQ42" i="14"/>
  <c r="BP42" i="14"/>
  <c r="BM42" i="14"/>
  <c r="BL42" i="14"/>
  <c r="BI42" i="14"/>
  <c r="BH42" i="14"/>
  <c r="BE42" i="14"/>
  <c r="BD42" i="14"/>
  <c r="AZ42" i="14"/>
  <c r="AY42" i="14"/>
  <c r="BA42" i="14" s="1"/>
  <c r="AX42" i="14"/>
  <c r="AW42" i="14"/>
  <c r="AV42" i="14"/>
  <c r="AS42" i="14"/>
  <c r="AR42" i="14"/>
  <c r="AO42" i="14"/>
  <c r="AN42" i="14"/>
  <c r="AK42" i="14"/>
  <c r="AJ42" i="14"/>
  <c r="AG42" i="14"/>
  <c r="AF42" i="14"/>
  <c r="AC42" i="14"/>
  <c r="AB42" i="14"/>
  <c r="Y42" i="14"/>
  <c r="X42" i="14"/>
  <c r="U42" i="14"/>
  <c r="T42" i="14"/>
  <c r="Q42" i="14"/>
  <c r="P42" i="14"/>
  <c r="M42" i="14"/>
  <c r="L42" i="14"/>
  <c r="G42" i="14"/>
  <c r="F42" i="14"/>
  <c r="E42" i="14"/>
  <c r="D42" i="14"/>
  <c r="DR41" i="14"/>
  <c r="DQ41" i="14"/>
  <c r="DP41" i="14"/>
  <c r="DL41" i="14"/>
  <c r="DK41" i="14"/>
  <c r="DM41" i="14" s="1"/>
  <c r="DJ41" i="14"/>
  <c r="DI41" i="14"/>
  <c r="DH41" i="14"/>
  <c r="DE41" i="14"/>
  <c r="DD41" i="14"/>
  <c r="CY41" i="14"/>
  <c r="DA41" i="14" s="1"/>
  <c r="CX41" i="14"/>
  <c r="CW41" i="14"/>
  <c r="CV41" i="14"/>
  <c r="CS41" i="14"/>
  <c r="CR41" i="14"/>
  <c r="CM41" i="14"/>
  <c r="CO41" i="14" s="1"/>
  <c r="CL41" i="14"/>
  <c r="CK41" i="14"/>
  <c r="CJ41" i="14"/>
  <c r="CG41" i="14"/>
  <c r="CF41" i="14"/>
  <c r="CC41" i="14"/>
  <c r="CB41" i="14"/>
  <c r="BY41" i="14"/>
  <c r="BX41" i="14"/>
  <c r="BT41" i="14"/>
  <c r="BS41" i="14"/>
  <c r="BU41" i="14" s="1"/>
  <c r="BR41" i="14"/>
  <c r="BQ41" i="14"/>
  <c r="BP41" i="14"/>
  <c r="BM41" i="14"/>
  <c r="BL41" i="14"/>
  <c r="BI41" i="14"/>
  <c r="BH41" i="14"/>
  <c r="BE41" i="14"/>
  <c r="BD41" i="14"/>
  <c r="AZ41" i="14"/>
  <c r="AY41" i="14"/>
  <c r="BA41" i="14" s="1"/>
  <c r="AX41" i="14"/>
  <c r="AW41" i="14"/>
  <c r="AV41" i="14"/>
  <c r="AS41" i="14"/>
  <c r="AR41" i="14"/>
  <c r="AO41" i="14"/>
  <c r="AN41" i="14"/>
  <c r="AK41" i="14"/>
  <c r="AJ41" i="14"/>
  <c r="AG41" i="14"/>
  <c r="AF41" i="14"/>
  <c r="AC41" i="14"/>
  <c r="AB41" i="14"/>
  <c r="Y41" i="14"/>
  <c r="X41" i="14"/>
  <c r="U41" i="14"/>
  <c r="T41" i="14"/>
  <c r="Q41" i="14"/>
  <c r="P41" i="14"/>
  <c r="M41" i="14"/>
  <c r="L41" i="14"/>
  <c r="G41" i="14"/>
  <c r="F41" i="14"/>
  <c r="E41" i="14"/>
  <c r="D41" i="14"/>
  <c r="DR40" i="14"/>
  <c r="DQ40" i="14"/>
  <c r="DP40" i="14"/>
  <c r="DL40" i="14"/>
  <c r="DK40" i="14"/>
  <c r="DM40" i="14" s="1"/>
  <c r="DJ40" i="14"/>
  <c r="DI40" i="14"/>
  <c r="DH40" i="14"/>
  <c r="DE40" i="14"/>
  <c r="DD40" i="14"/>
  <c r="CY40" i="14"/>
  <c r="DA40" i="14" s="1"/>
  <c r="CX40" i="14"/>
  <c r="CW40" i="14"/>
  <c r="CV40" i="14"/>
  <c r="CS40" i="14"/>
  <c r="CR40" i="14"/>
  <c r="CM40" i="14"/>
  <c r="CO40" i="14" s="1"/>
  <c r="CL40" i="14"/>
  <c r="CK40" i="14"/>
  <c r="CJ40" i="14"/>
  <c r="CG40" i="14"/>
  <c r="CF40" i="14"/>
  <c r="CC40" i="14"/>
  <c r="CB40" i="14"/>
  <c r="BY40" i="14"/>
  <c r="BX40" i="14"/>
  <c r="BT40" i="14"/>
  <c r="BS40" i="14"/>
  <c r="BU40" i="14" s="1"/>
  <c r="BR40" i="14"/>
  <c r="BQ40" i="14"/>
  <c r="BP40" i="14"/>
  <c r="BM40" i="14"/>
  <c r="BL40" i="14"/>
  <c r="BI40" i="14"/>
  <c r="BH40" i="14"/>
  <c r="BE40" i="14"/>
  <c r="BD40" i="14"/>
  <c r="AZ40" i="14"/>
  <c r="AY40" i="14"/>
  <c r="AX40" i="14"/>
  <c r="AW40" i="14"/>
  <c r="AV40" i="14"/>
  <c r="AS40" i="14"/>
  <c r="AR40" i="14"/>
  <c r="AO40" i="14"/>
  <c r="AN40" i="14"/>
  <c r="AK40" i="14"/>
  <c r="AJ40" i="14"/>
  <c r="AG40" i="14"/>
  <c r="AF40" i="14"/>
  <c r="AC40" i="14"/>
  <c r="AB40" i="14"/>
  <c r="Y40" i="14"/>
  <c r="X40" i="14"/>
  <c r="U40" i="14"/>
  <c r="T40" i="14"/>
  <c r="Q40" i="14"/>
  <c r="P40" i="14"/>
  <c r="M40" i="14"/>
  <c r="L40" i="14"/>
  <c r="I40" i="14"/>
  <c r="H40" i="14"/>
  <c r="E40" i="14"/>
  <c r="D40" i="14"/>
  <c r="DC39" i="14"/>
  <c r="CU39" i="14"/>
  <c r="CE39" i="14"/>
  <c r="BW39" i="14"/>
  <c r="BO39" i="14"/>
  <c r="BG39" i="14"/>
  <c r="AQ39" i="14"/>
  <c r="AI39" i="14"/>
  <c r="AA39" i="14"/>
  <c r="S39" i="14"/>
  <c r="K39" i="14"/>
  <c r="C39" i="14"/>
  <c r="DQ38" i="14"/>
  <c r="DP38" i="14"/>
  <c r="DM38" i="14"/>
  <c r="DK38" i="14"/>
  <c r="DI38" i="14"/>
  <c r="DH38" i="14"/>
  <c r="DE38" i="14"/>
  <c r="DB38" i="14"/>
  <c r="DJ38" i="14" s="1"/>
  <c r="DL38" i="14" s="1"/>
  <c r="CY38" i="14"/>
  <c r="DA38" i="14" s="1"/>
  <c r="CW38" i="14"/>
  <c r="CT38" i="14"/>
  <c r="CV38" i="14" s="1"/>
  <c r="CS38" i="14"/>
  <c r="CP38" i="14"/>
  <c r="CR38" i="14" s="1"/>
  <c r="CO38" i="14"/>
  <c r="CN38" i="14"/>
  <c r="CM38" i="14"/>
  <c r="CK38" i="14"/>
  <c r="CJ38" i="14"/>
  <c r="CH38" i="14"/>
  <c r="CG38" i="14"/>
  <c r="CD38" i="14"/>
  <c r="CL38" i="14" s="1"/>
  <c r="CC38" i="14"/>
  <c r="BZ38" i="14"/>
  <c r="CB38" i="14" s="1"/>
  <c r="BY38" i="14"/>
  <c r="BV38" i="14"/>
  <c r="BX38" i="14" s="1"/>
  <c r="BQ38" i="14"/>
  <c r="BP38" i="14"/>
  <c r="BM38" i="14"/>
  <c r="BL38" i="14"/>
  <c r="BI38" i="14"/>
  <c r="BH38" i="14"/>
  <c r="BC38" i="14"/>
  <c r="BB38" i="14"/>
  <c r="AX38" i="14"/>
  <c r="AW38" i="14"/>
  <c r="AV38" i="14"/>
  <c r="AS38" i="14"/>
  <c r="AR38" i="14"/>
  <c r="AO38" i="14"/>
  <c r="AN38" i="14"/>
  <c r="AK38" i="14"/>
  <c r="AJ38" i="14"/>
  <c r="AG38" i="14"/>
  <c r="AF38" i="14"/>
  <c r="AC38" i="14"/>
  <c r="AB38" i="14"/>
  <c r="W38" i="14"/>
  <c r="Y38" i="14" s="1"/>
  <c r="V38" i="14"/>
  <c r="U38" i="14"/>
  <c r="R38" i="14"/>
  <c r="T38" i="14" s="1"/>
  <c r="Q38" i="14"/>
  <c r="P38" i="14"/>
  <c r="K38" i="14"/>
  <c r="M38" i="14" s="1"/>
  <c r="J38" i="14"/>
  <c r="H38" i="14"/>
  <c r="G38" i="14"/>
  <c r="I38" i="14" s="1"/>
  <c r="F38" i="14"/>
  <c r="E38" i="14"/>
  <c r="D38" i="14"/>
  <c r="B38" i="14"/>
  <c r="DS37" i="14"/>
  <c r="DR37" i="14"/>
  <c r="DT37" i="14" s="1"/>
  <c r="DQ37" i="14"/>
  <c r="DP37" i="14"/>
  <c r="DM37" i="14"/>
  <c r="DL37" i="14"/>
  <c r="DK37" i="14"/>
  <c r="DJ37" i="14"/>
  <c r="DI37" i="14"/>
  <c r="DH37" i="14"/>
  <c r="DE37" i="14"/>
  <c r="DD37" i="14"/>
  <c r="DA37" i="14"/>
  <c r="CZ37" i="14"/>
  <c r="CY37" i="14"/>
  <c r="CX37" i="14"/>
  <c r="CW37" i="14"/>
  <c r="CV37" i="14"/>
  <c r="CS37" i="14"/>
  <c r="CR37" i="14"/>
  <c r="CO37" i="14"/>
  <c r="CN37" i="14"/>
  <c r="CM37" i="14"/>
  <c r="CL37" i="14"/>
  <c r="CK37" i="14"/>
  <c r="CJ37" i="14"/>
  <c r="CG37" i="14"/>
  <c r="CF37" i="14"/>
  <c r="CC37" i="14"/>
  <c r="CB37" i="14"/>
  <c r="BY37" i="14"/>
  <c r="BX37" i="14"/>
  <c r="BU37" i="14"/>
  <c r="BT37" i="14"/>
  <c r="BS37" i="14"/>
  <c r="BR37" i="14"/>
  <c r="BQ37" i="14"/>
  <c r="BP37" i="14"/>
  <c r="BM37" i="14"/>
  <c r="BL37" i="14"/>
  <c r="BI37" i="14"/>
  <c r="BH37" i="14"/>
  <c r="BE37" i="14"/>
  <c r="BD37" i="14"/>
  <c r="BA37" i="14"/>
  <c r="AZ37" i="14"/>
  <c r="AY37" i="14"/>
  <c r="AX37" i="14"/>
  <c r="AW37" i="14"/>
  <c r="AV37" i="14"/>
  <c r="AS37" i="14"/>
  <c r="AR37" i="14"/>
  <c r="AO37" i="14"/>
  <c r="AN37" i="14"/>
  <c r="AK37" i="14"/>
  <c r="AJ37" i="14"/>
  <c r="AG37" i="14"/>
  <c r="AF37" i="14"/>
  <c r="AC37" i="14"/>
  <c r="AB37" i="14"/>
  <c r="Y37" i="14"/>
  <c r="X37" i="14"/>
  <c r="U37" i="14"/>
  <c r="T37" i="14"/>
  <c r="Q37" i="14"/>
  <c r="P37" i="14"/>
  <c r="M37" i="14"/>
  <c r="L37" i="14"/>
  <c r="I37" i="14"/>
  <c r="H37" i="14"/>
  <c r="G37" i="14"/>
  <c r="F37" i="14"/>
  <c r="E37" i="14"/>
  <c r="D37" i="14"/>
  <c r="DQ36" i="14"/>
  <c r="DP36" i="14"/>
  <c r="DM36" i="14"/>
  <c r="DL36" i="14"/>
  <c r="DK36" i="14"/>
  <c r="DJ36" i="14"/>
  <c r="DI36" i="14"/>
  <c r="DH36" i="14"/>
  <c r="DE36" i="14"/>
  <c r="DD36" i="14"/>
  <c r="DA36" i="14"/>
  <c r="CZ36" i="14"/>
  <c r="CY36" i="14"/>
  <c r="CX36" i="14"/>
  <c r="CW36" i="14"/>
  <c r="CV36" i="14"/>
  <c r="CS36" i="14"/>
  <c r="CR36" i="14"/>
  <c r="CO36" i="14"/>
  <c r="CN36" i="14"/>
  <c r="CM36" i="14"/>
  <c r="CL36" i="14"/>
  <c r="CK36" i="14"/>
  <c r="CJ36" i="14"/>
  <c r="CG36" i="14"/>
  <c r="CF36" i="14"/>
  <c r="CC36" i="14"/>
  <c r="CB36" i="14"/>
  <c r="BZ36" i="14"/>
  <c r="BY36" i="14"/>
  <c r="BX36" i="14"/>
  <c r="BV36" i="14"/>
  <c r="BS36" i="14"/>
  <c r="BU36" i="14" s="1"/>
  <c r="BR36" i="14"/>
  <c r="BT36" i="14" s="1"/>
  <c r="BQ36" i="14"/>
  <c r="BP36" i="14"/>
  <c r="BM36" i="14"/>
  <c r="BL36" i="14"/>
  <c r="BI36" i="14"/>
  <c r="BH36" i="14"/>
  <c r="BE36" i="14"/>
  <c r="BD36" i="14"/>
  <c r="BB36" i="14"/>
  <c r="AY36" i="14"/>
  <c r="BA36" i="14" s="1"/>
  <c r="AW36" i="14"/>
  <c r="AV36" i="14"/>
  <c r="AS36" i="14"/>
  <c r="AR36" i="14"/>
  <c r="AO36" i="14"/>
  <c r="AN36" i="14"/>
  <c r="AK36" i="14"/>
  <c r="AJ36" i="14"/>
  <c r="AG36" i="14"/>
  <c r="AF36" i="14"/>
  <c r="AC36" i="14"/>
  <c r="AB36" i="14"/>
  <c r="Y36" i="14"/>
  <c r="X36" i="14"/>
  <c r="V36" i="14"/>
  <c r="AX36" i="14" s="1"/>
  <c r="AZ36" i="14" s="1"/>
  <c r="U36" i="14"/>
  <c r="T36" i="14"/>
  <c r="Q36" i="14"/>
  <c r="P36" i="14"/>
  <c r="M36" i="14"/>
  <c r="J36" i="14"/>
  <c r="L36" i="14" s="1"/>
  <c r="I36" i="14"/>
  <c r="H36" i="14"/>
  <c r="E36" i="14"/>
  <c r="D36" i="14"/>
  <c r="B36" i="14"/>
  <c r="DR36" i="14" s="1"/>
  <c r="DO35" i="14"/>
  <c r="DQ35" i="14" s="1"/>
  <c r="DN35" i="14"/>
  <c r="DG35" i="14"/>
  <c r="DI35" i="14" s="1"/>
  <c r="DF35" i="14"/>
  <c r="DC35" i="14"/>
  <c r="DE35" i="14" s="1"/>
  <c r="DB35" i="14"/>
  <c r="CU35" i="14"/>
  <c r="CW35" i="14" s="1"/>
  <c r="CT35" i="14"/>
  <c r="CQ35" i="14"/>
  <c r="CS35" i="14" s="1"/>
  <c r="CP35" i="14"/>
  <c r="CI35" i="14"/>
  <c r="CK35" i="14" s="1"/>
  <c r="CH35" i="14"/>
  <c r="CE35" i="14"/>
  <c r="CG35" i="14" s="1"/>
  <c r="CD35" i="14"/>
  <c r="CA35" i="14"/>
  <c r="CC35" i="14" s="1"/>
  <c r="BZ35" i="14"/>
  <c r="BW35" i="14"/>
  <c r="BY35" i="14" s="1"/>
  <c r="BO35" i="14"/>
  <c r="BQ35" i="14" s="1"/>
  <c r="BN35" i="14"/>
  <c r="BK35" i="14"/>
  <c r="BM35" i="14" s="1"/>
  <c r="BJ35" i="14"/>
  <c r="BG35" i="14"/>
  <c r="BI35" i="14" s="1"/>
  <c r="BF35" i="14"/>
  <c r="BC35" i="14"/>
  <c r="BE35" i="14" s="1"/>
  <c r="BB35" i="14"/>
  <c r="AU35" i="14"/>
  <c r="AW35" i="14" s="1"/>
  <c r="AT35" i="14"/>
  <c r="AQ35" i="14"/>
  <c r="AS35" i="14" s="1"/>
  <c r="AP35" i="14"/>
  <c r="AM35" i="14"/>
  <c r="AO35" i="14" s="1"/>
  <c r="AL35" i="14"/>
  <c r="AI35" i="14"/>
  <c r="AK35" i="14" s="1"/>
  <c r="AH35" i="14"/>
  <c r="AE35" i="14"/>
  <c r="AG35" i="14" s="1"/>
  <c r="AD35" i="14"/>
  <c r="AA35" i="14"/>
  <c r="AC35" i="14" s="1"/>
  <c r="Z35" i="14"/>
  <c r="AX35" i="14" s="1"/>
  <c r="W35" i="14"/>
  <c r="Y35" i="14" s="1"/>
  <c r="V35" i="14"/>
  <c r="S35" i="14"/>
  <c r="U35" i="14" s="1"/>
  <c r="R35" i="14"/>
  <c r="O35" i="14"/>
  <c r="Q35" i="14" s="1"/>
  <c r="N35" i="14"/>
  <c r="K35" i="14"/>
  <c r="G35" i="14"/>
  <c r="I35" i="14" s="1"/>
  <c r="F35" i="14"/>
  <c r="C35" i="14"/>
  <c r="E35" i="14" s="1"/>
  <c r="B35" i="14"/>
  <c r="D35" i="14" s="1"/>
  <c r="DS34" i="14"/>
  <c r="DU34" i="14" s="1"/>
  <c r="DQ34" i="14"/>
  <c r="DP34" i="14"/>
  <c r="DM34" i="14"/>
  <c r="DK34" i="14"/>
  <c r="DI34" i="14"/>
  <c r="DH34" i="14"/>
  <c r="DE34" i="14"/>
  <c r="DB34" i="14"/>
  <c r="DA34" i="14"/>
  <c r="CY34" i="14"/>
  <c r="CX34" i="14"/>
  <c r="CZ34" i="14" s="1"/>
  <c r="CW34" i="14"/>
  <c r="CV34" i="14"/>
  <c r="CS34" i="14"/>
  <c r="CR34" i="14"/>
  <c r="CO34" i="14"/>
  <c r="CM34" i="14"/>
  <c r="CL34" i="14"/>
  <c r="CN34" i="14" s="1"/>
  <c r="CK34" i="14"/>
  <c r="CJ34" i="14"/>
  <c r="CG34" i="14"/>
  <c r="CF34" i="14"/>
  <c r="CC34" i="14"/>
  <c r="CB34" i="14"/>
  <c r="BY34" i="14"/>
  <c r="BX34" i="14"/>
  <c r="BU34" i="14"/>
  <c r="BS34" i="14"/>
  <c r="BR34" i="14"/>
  <c r="BT34" i="14" s="1"/>
  <c r="BQ34" i="14"/>
  <c r="BP34" i="14"/>
  <c r="BM34" i="14"/>
  <c r="BL34" i="14"/>
  <c r="BI34" i="14"/>
  <c r="BH34" i="14"/>
  <c r="BE34" i="14"/>
  <c r="BD34" i="14"/>
  <c r="BA34" i="14"/>
  <c r="AY34" i="14"/>
  <c r="AX34" i="14"/>
  <c r="AZ34" i="14" s="1"/>
  <c r="AW34" i="14"/>
  <c r="AV34" i="14"/>
  <c r="AS34" i="14"/>
  <c r="AR34" i="14"/>
  <c r="AO34" i="14"/>
  <c r="AN34" i="14"/>
  <c r="AK34" i="14"/>
  <c r="AJ34" i="14"/>
  <c r="AG34" i="14"/>
  <c r="AF34" i="14"/>
  <c r="AC34" i="14"/>
  <c r="AB34" i="14"/>
  <c r="Y34" i="14"/>
  <c r="X34" i="14"/>
  <c r="U34" i="14"/>
  <c r="T34" i="14"/>
  <c r="Q34" i="14"/>
  <c r="P34" i="14"/>
  <c r="M34" i="14"/>
  <c r="J34" i="14"/>
  <c r="I34" i="14"/>
  <c r="H34" i="14"/>
  <c r="E34" i="14"/>
  <c r="D34" i="14"/>
  <c r="B34" i="14"/>
  <c r="DQ33" i="14"/>
  <c r="DP33" i="14"/>
  <c r="DM33" i="14"/>
  <c r="DK33" i="14"/>
  <c r="DJ33" i="14"/>
  <c r="DL33" i="14" s="1"/>
  <c r="DI33" i="14"/>
  <c r="DH33" i="14"/>
  <c r="DE33" i="14"/>
  <c r="DD33" i="14"/>
  <c r="DA33" i="14"/>
  <c r="CY33" i="14"/>
  <c r="CX33" i="14"/>
  <c r="CZ33" i="14" s="1"/>
  <c r="CW33" i="14"/>
  <c r="CT33" i="14"/>
  <c r="CV33" i="14" s="1"/>
  <c r="CS33" i="14"/>
  <c r="CR33" i="14"/>
  <c r="CP33" i="14"/>
  <c r="CN33" i="14"/>
  <c r="CM33" i="14"/>
  <c r="CO33" i="14" s="1"/>
  <c r="CK33" i="14"/>
  <c r="CJ33" i="14"/>
  <c r="CG33" i="14"/>
  <c r="CD33" i="14"/>
  <c r="CL33" i="14" s="1"/>
  <c r="CC33" i="14"/>
  <c r="CB33" i="14"/>
  <c r="BZ33" i="14"/>
  <c r="BY33" i="14"/>
  <c r="BV33" i="14"/>
  <c r="BV35" i="14" s="1"/>
  <c r="BS33" i="14"/>
  <c r="BU33" i="14" s="1"/>
  <c r="BR33" i="14"/>
  <c r="BQ33" i="14"/>
  <c r="BP33" i="14"/>
  <c r="BM33" i="14"/>
  <c r="BL33" i="14"/>
  <c r="BI33" i="14"/>
  <c r="BH33" i="14"/>
  <c r="BE33" i="14"/>
  <c r="BD33" i="14"/>
  <c r="BC33" i="14"/>
  <c r="BB33" i="14"/>
  <c r="AW33" i="14"/>
  <c r="AV33" i="14"/>
  <c r="AS33" i="14"/>
  <c r="AR33" i="14"/>
  <c r="AO33" i="14"/>
  <c r="AN33" i="14"/>
  <c r="AK33" i="14"/>
  <c r="AJ33" i="14"/>
  <c r="AG33" i="14"/>
  <c r="AF33" i="14"/>
  <c r="AC33" i="14"/>
  <c r="AB33" i="14"/>
  <c r="Y33" i="14"/>
  <c r="X33" i="14"/>
  <c r="W33" i="14"/>
  <c r="AY33" i="14" s="1"/>
  <c r="DS33" i="14" s="1"/>
  <c r="V33" i="14"/>
  <c r="AX33" i="14" s="1"/>
  <c r="AZ33" i="14" s="1"/>
  <c r="U33" i="14"/>
  <c r="T33" i="14"/>
  <c r="R33" i="14"/>
  <c r="Q33" i="14"/>
  <c r="P33" i="14"/>
  <c r="M33" i="14"/>
  <c r="K33" i="14"/>
  <c r="J33" i="14"/>
  <c r="L33" i="14" s="1"/>
  <c r="I33" i="14"/>
  <c r="H33" i="14"/>
  <c r="E33" i="14"/>
  <c r="D33" i="14"/>
  <c r="B33" i="14"/>
  <c r="DQ32" i="14"/>
  <c r="DP32" i="14"/>
  <c r="DM32" i="14"/>
  <c r="DL32" i="14"/>
  <c r="DK32" i="14"/>
  <c r="DJ32" i="14"/>
  <c r="DI32" i="14"/>
  <c r="DH32" i="14"/>
  <c r="DE32" i="14"/>
  <c r="DD32" i="14"/>
  <c r="CX32" i="14"/>
  <c r="CW32" i="14"/>
  <c r="CV32" i="14"/>
  <c r="CU32" i="14"/>
  <c r="CY32" i="14" s="1"/>
  <c r="DA32" i="14" s="1"/>
  <c r="CS32" i="14"/>
  <c r="CR32" i="14"/>
  <c r="CO32" i="14"/>
  <c r="CM32" i="14"/>
  <c r="CL32" i="14"/>
  <c r="CN32" i="14" s="1"/>
  <c r="CK32" i="14"/>
  <c r="CJ32" i="14"/>
  <c r="CG32" i="14"/>
  <c r="CF32" i="14"/>
  <c r="CC32" i="14"/>
  <c r="CA32" i="14"/>
  <c r="CB32" i="14" s="1"/>
  <c r="BY32" i="14"/>
  <c r="BX32" i="14"/>
  <c r="BW32" i="14"/>
  <c r="BS32" i="14"/>
  <c r="BU32" i="14" s="1"/>
  <c r="BR32" i="14"/>
  <c r="BQ32" i="14"/>
  <c r="BP32" i="14"/>
  <c r="BM32" i="14"/>
  <c r="BL32" i="14"/>
  <c r="BI32" i="14"/>
  <c r="BH32" i="14"/>
  <c r="BE32" i="14"/>
  <c r="BD32" i="14"/>
  <c r="AY32" i="14"/>
  <c r="BA32" i="14" s="1"/>
  <c r="AX32" i="14"/>
  <c r="AW32" i="14"/>
  <c r="AV32" i="14"/>
  <c r="AS32" i="14"/>
  <c r="AR32" i="14"/>
  <c r="AO32" i="14"/>
  <c r="AN32" i="14"/>
  <c r="AK32" i="14"/>
  <c r="AJ32" i="14"/>
  <c r="AG32" i="14"/>
  <c r="AF32" i="14"/>
  <c r="AC32" i="14"/>
  <c r="AB32" i="14"/>
  <c r="X32" i="14"/>
  <c r="W32" i="14"/>
  <c r="Y32" i="14" s="1"/>
  <c r="U32" i="14"/>
  <c r="T32" i="14"/>
  <c r="Q32" i="14"/>
  <c r="P32" i="14"/>
  <c r="M32" i="14"/>
  <c r="L32" i="14"/>
  <c r="I32" i="14"/>
  <c r="H32" i="14"/>
  <c r="E32" i="14"/>
  <c r="B32" i="14"/>
  <c r="DR32" i="14" s="1"/>
  <c r="DS28" i="14"/>
  <c r="DU28" i="14" s="1"/>
  <c r="DQ28" i="14"/>
  <c r="DN28" i="14"/>
  <c r="DP28" i="14" s="1"/>
  <c r="DK28" i="14"/>
  <c r="DM28" i="14" s="1"/>
  <c r="DJ28" i="14"/>
  <c r="DL28" i="14" s="1"/>
  <c r="DI28" i="14"/>
  <c r="DH28" i="14"/>
  <c r="DE28" i="14"/>
  <c r="DD28" i="14"/>
  <c r="CY28" i="14"/>
  <c r="DA28" i="14" s="1"/>
  <c r="CX28" i="14"/>
  <c r="CZ28" i="14" s="1"/>
  <c r="CW28" i="14"/>
  <c r="CV28" i="14"/>
  <c r="CS28" i="14"/>
  <c r="CR28" i="14"/>
  <c r="CM28" i="14"/>
  <c r="CO28" i="14" s="1"/>
  <c r="CL28" i="14"/>
  <c r="CN28" i="14" s="1"/>
  <c r="CK28" i="14"/>
  <c r="CJ28" i="14"/>
  <c r="CG28" i="14"/>
  <c r="CF28" i="14"/>
  <c r="CC28" i="14"/>
  <c r="CB28" i="14"/>
  <c r="BY28" i="14"/>
  <c r="BX28" i="14"/>
  <c r="BS28" i="14"/>
  <c r="BU28" i="14" s="1"/>
  <c r="BR28" i="14"/>
  <c r="BT28" i="14" s="1"/>
  <c r="BQ28" i="14"/>
  <c r="BP28" i="14"/>
  <c r="BM28" i="14"/>
  <c r="BL28" i="14"/>
  <c r="BI28" i="14"/>
  <c r="BH28" i="14"/>
  <c r="BE28" i="14"/>
  <c r="BD28" i="14"/>
  <c r="AY28" i="14"/>
  <c r="BA28" i="14" s="1"/>
  <c r="AX28" i="14"/>
  <c r="DR28" i="14" s="1"/>
  <c r="DT28" i="14" s="1"/>
  <c r="AW28" i="14"/>
  <c r="AV28" i="14"/>
  <c r="AS28" i="14"/>
  <c r="AR28" i="14"/>
  <c r="AO28" i="14"/>
  <c r="AN28" i="14"/>
  <c r="AK28" i="14"/>
  <c r="AJ28" i="14"/>
  <c r="AG28" i="14"/>
  <c r="AF28" i="14"/>
  <c r="AC28" i="14"/>
  <c r="AB28" i="14"/>
  <c r="Y28" i="14"/>
  <c r="X28" i="14"/>
  <c r="U28" i="14"/>
  <c r="T28" i="14"/>
  <c r="Q28" i="14"/>
  <c r="P28" i="14"/>
  <c r="M28" i="14"/>
  <c r="L28" i="14"/>
  <c r="I28" i="14"/>
  <c r="H28" i="14"/>
  <c r="E28" i="14"/>
  <c r="D28" i="14"/>
  <c r="DS27" i="14"/>
  <c r="DU27" i="14" s="1"/>
  <c r="DQ27" i="14"/>
  <c r="DP27" i="14"/>
  <c r="DM27" i="14"/>
  <c r="DK27" i="14"/>
  <c r="DI27" i="14"/>
  <c r="DH27" i="14"/>
  <c r="DE27" i="14"/>
  <c r="DB27" i="14"/>
  <c r="DJ27" i="14" s="1"/>
  <c r="DL27" i="14" s="1"/>
  <c r="DA27" i="14"/>
  <c r="CY27" i="14"/>
  <c r="CX27" i="14"/>
  <c r="CZ27" i="14" s="1"/>
  <c r="CW27" i="14"/>
  <c r="CV27" i="14"/>
  <c r="CS27" i="14"/>
  <c r="CR27" i="14"/>
  <c r="CO27" i="14"/>
  <c r="CM27" i="14"/>
  <c r="CL27" i="14"/>
  <c r="CN27" i="14" s="1"/>
  <c r="CK27" i="14"/>
  <c r="CJ27" i="14"/>
  <c r="CG27" i="14"/>
  <c r="CF27" i="14"/>
  <c r="CC27" i="14"/>
  <c r="CB27" i="14"/>
  <c r="BY27" i="14"/>
  <c r="BX27" i="14"/>
  <c r="BU27" i="14"/>
  <c r="BS27" i="14"/>
  <c r="BR27" i="14"/>
  <c r="BT27" i="14" s="1"/>
  <c r="BQ27" i="14"/>
  <c r="BP27" i="14"/>
  <c r="BM27" i="14"/>
  <c r="BL27" i="14"/>
  <c r="BI27" i="14"/>
  <c r="BH27" i="14"/>
  <c r="BE27" i="14"/>
  <c r="BD27" i="14"/>
  <c r="BA27" i="14"/>
  <c r="AY27" i="14"/>
  <c r="AX27" i="14"/>
  <c r="AZ27" i="14" s="1"/>
  <c r="AW27" i="14"/>
  <c r="AV27" i="14"/>
  <c r="AS27" i="14"/>
  <c r="AR27" i="14"/>
  <c r="AO27" i="14"/>
  <c r="AN27" i="14"/>
  <c r="AK27" i="14"/>
  <c r="AJ27" i="14"/>
  <c r="AG27" i="14"/>
  <c r="AF27" i="14"/>
  <c r="AC27" i="14"/>
  <c r="AB27" i="14"/>
  <c r="Y27" i="14"/>
  <c r="X27" i="14"/>
  <c r="U27" i="14"/>
  <c r="T27" i="14"/>
  <c r="Q27" i="14"/>
  <c r="P27" i="14"/>
  <c r="M27" i="14"/>
  <c r="L27" i="14"/>
  <c r="I27" i="14"/>
  <c r="H27" i="14"/>
  <c r="E27" i="14"/>
  <c r="B27" i="14"/>
  <c r="D27" i="14" s="1"/>
  <c r="DO26" i="14"/>
  <c r="DQ26" i="14" s="1"/>
  <c r="DN26" i="14"/>
  <c r="DP26" i="14" s="1"/>
  <c r="DG26" i="14"/>
  <c r="DI26" i="14" s="1"/>
  <c r="DF26" i="14"/>
  <c r="DH26" i="14" s="1"/>
  <c r="DC26" i="14"/>
  <c r="DE26" i="14" s="1"/>
  <c r="DB26" i="14"/>
  <c r="DJ26" i="14" s="1"/>
  <c r="CU26" i="14"/>
  <c r="CW26" i="14" s="1"/>
  <c r="CT26" i="14"/>
  <c r="CV26" i="14" s="1"/>
  <c r="CQ26" i="14"/>
  <c r="CS26" i="14" s="1"/>
  <c r="CP26" i="14"/>
  <c r="CR26" i="14" s="1"/>
  <c r="CI26" i="14"/>
  <c r="CK26" i="14" s="1"/>
  <c r="CH26" i="14"/>
  <c r="CJ26" i="14" s="1"/>
  <c r="CE26" i="14"/>
  <c r="CG26" i="14" s="1"/>
  <c r="CD26" i="14"/>
  <c r="CF26" i="14" s="1"/>
  <c r="CA26" i="14"/>
  <c r="CC26" i="14" s="1"/>
  <c r="BZ26" i="14"/>
  <c r="CB26" i="14" s="1"/>
  <c r="BW26" i="14"/>
  <c r="BY26" i="14" s="1"/>
  <c r="BV26" i="14"/>
  <c r="BX26" i="14" s="1"/>
  <c r="BO26" i="14"/>
  <c r="BQ26" i="14" s="1"/>
  <c r="BN26" i="14"/>
  <c r="BP26" i="14" s="1"/>
  <c r="BK26" i="14"/>
  <c r="BM26" i="14" s="1"/>
  <c r="BJ26" i="14"/>
  <c r="BL26" i="14" s="1"/>
  <c r="BG26" i="14"/>
  <c r="BI26" i="14" s="1"/>
  <c r="BF26" i="14"/>
  <c r="BH26" i="14" s="1"/>
  <c r="BC26" i="14"/>
  <c r="BE26" i="14" s="1"/>
  <c r="BB26" i="14"/>
  <c r="BD26" i="14" s="1"/>
  <c r="AU26" i="14"/>
  <c r="AW26" i="14" s="1"/>
  <c r="AT26" i="14"/>
  <c r="AV26" i="14" s="1"/>
  <c r="AQ26" i="14"/>
  <c r="AS26" i="14" s="1"/>
  <c r="AP26" i="14"/>
  <c r="AR26" i="14" s="1"/>
  <c r="AM26" i="14"/>
  <c r="AO26" i="14" s="1"/>
  <c r="AL26" i="14"/>
  <c r="AN26" i="14" s="1"/>
  <c r="AI26" i="14"/>
  <c r="AK26" i="14" s="1"/>
  <c r="AH26" i="14"/>
  <c r="AJ26" i="14" s="1"/>
  <c r="AE26" i="14"/>
  <c r="AG26" i="14" s="1"/>
  <c r="AD26" i="14"/>
  <c r="AF26" i="14" s="1"/>
  <c r="AA26" i="14"/>
  <c r="AC26" i="14" s="1"/>
  <c r="Z26" i="14"/>
  <c r="AB26" i="14" s="1"/>
  <c r="W26" i="14"/>
  <c r="Y26" i="14" s="1"/>
  <c r="V26" i="14"/>
  <c r="X26" i="14" s="1"/>
  <c r="S26" i="14"/>
  <c r="U26" i="14" s="1"/>
  <c r="R26" i="14"/>
  <c r="T26" i="14" s="1"/>
  <c r="O26" i="14"/>
  <c r="Q26" i="14" s="1"/>
  <c r="N26" i="14"/>
  <c r="P26" i="14" s="1"/>
  <c r="K26" i="14"/>
  <c r="M26" i="14" s="1"/>
  <c r="J26" i="14"/>
  <c r="L26" i="14" s="1"/>
  <c r="G26" i="14"/>
  <c r="I26" i="14" s="1"/>
  <c r="F26" i="14"/>
  <c r="H26" i="14" s="1"/>
  <c r="B26" i="14"/>
  <c r="DS25" i="14"/>
  <c r="DU25" i="14" s="1"/>
  <c r="DR25" i="14"/>
  <c r="DT25" i="14" s="1"/>
  <c r="DQ25" i="14"/>
  <c r="DP25" i="14"/>
  <c r="DM25" i="14"/>
  <c r="DL25" i="14"/>
  <c r="DK25" i="14"/>
  <c r="DJ25" i="14"/>
  <c r="DI25" i="14"/>
  <c r="DH25" i="14"/>
  <c r="DE25" i="14"/>
  <c r="DD25" i="14"/>
  <c r="DA25" i="14"/>
  <c r="CZ25" i="14"/>
  <c r="CY25" i="14"/>
  <c r="CX25" i="14"/>
  <c r="CW25" i="14"/>
  <c r="CV25" i="14"/>
  <c r="CS25" i="14"/>
  <c r="CR25" i="14"/>
  <c r="CO25" i="14"/>
  <c r="CN25" i="14"/>
  <c r="CM25" i="14"/>
  <c r="CL25" i="14"/>
  <c r="CK25" i="14"/>
  <c r="CJ25" i="14"/>
  <c r="CG25" i="14"/>
  <c r="CF25" i="14"/>
  <c r="CC25" i="14"/>
  <c r="CB25" i="14"/>
  <c r="BY25" i="14"/>
  <c r="BX25" i="14"/>
  <c r="BU25" i="14"/>
  <c r="BT25" i="14"/>
  <c r="BS25" i="14"/>
  <c r="BR25" i="14"/>
  <c r="BQ25" i="14"/>
  <c r="BP25" i="14"/>
  <c r="BM25" i="14"/>
  <c r="BL25" i="14"/>
  <c r="BI25" i="14"/>
  <c r="BH25" i="14"/>
  <c r="BE25" i="14"/>
  <c r="BD25" i="14"/>
  <c r="BA25" i="14"/>
  <c r="AZ25" i="14"/>
  <c r="AY25" i="14"/>
  <c r="AX25" i="14"/>
  <c r="AW25" i="14"/>
  <c r="AV25" i="14"/>
  <c r="AS25" i="14"/>
  <c r="AR25" i="14"/>
  <c r="AO25" i="14"/>
  <c r="AN25" i="14"/>
  <c r="AK25" i="14"/>
  <c r="AJ25" i="14"/>
  <c r="AG25" i="14"/>
  <c r="AF25" i="14"/>
  <c r="AC25" i="14"/>
  <c r="AB25" i="14"/>
  <c r="Y25" i="14"/>
  <c r="X25" i="14"/>
  <c r="U25" i="14"/>
  <c r="T25" i="14"/>
  <c r="Q25" i="14"/>
  <c r="P25" i="14"/>
  <c r="M25" i="14"/>
  <c r="L25" i="14"/>
  <c r="I25" i="14"/>
  <c r="H25" i="14"/>
  <c r="F25" i="14"/>
  <c r="E25" i="14"/>
  <c r="D25" i="14"/>
  <c r="DR24" i="14"/>
  <c r="DQ24" i="14"/>
  <c r="DP24" i="14"/>
  <c r="DK24" i="14"/>
  <c r="DM24" i="14" s="1"/>
  <c r="DJ24" i="14"/>
  <c r="DI24" i="14"/>
  <c r="DH24" i="14"/>
  <c r="DE24" i="14"/>
  <c r="DD24" i="14"/>
  <c r="CY24" i="14"/>
  <c r="DA24" i="14" s="1"/>
  <c r="CX24" i="14"/>
  <c r="CW24" i="14"/>
  <c r="CV24" i="14"/>
  <c r="CS24" i="14"/>
  <c r="CR24" i="14"/>
  <c r="CM24" i="14"/>
  <c r="CN24" i="14" s="1"/>
  <c r="CL24" i="14"/>
  <c r="CK24" i="14"/>
  <c r="CJ24" i="14"/>
  <c r="CG24" i="14"/>
  <c r="CF24" i="14"/>
  <c r="CC24" i="14"/>
  <c r="CB24" i="14"/>
  <c r="BY24" i="14"/>
  <c r="BX24" i="14"/>
  <c r="BS24" i="14"/>
  <c r="BU24" i="14" s="1"/>
  <c r="BR24" i="14"/>
  <c r="BQ24" i="14"/>
  <c r="BP24" i="14"/>
  <c r="BM24" i="14"/>
  <c r="BL24" i="14"/>
  <c r="BI24" i="14"/>
  <c r="BH24" i="14"/>
  <c r="BE24" i="14"/>
  <c r="BD24" i="14"/>
  <c r="AY24" i="14"/>
  <c r="AZ24" i="14" s="1"/>
  <c r="AX24" i="14"/>
  <c r="AW24" i="14"/>
  <c r="AV24" i="14"/>
  <c r="AS24" i="14"/>
  <c r="AR24" i="14"/>
  <c r="AO24" i="14"/>
  <c r="AN24" i="14"/>
  <c r="AK24" i="14"/>
  <c r="AJ24" i="14"/>
  <c r="AG24" i="14"/>
  <c r="AF24" i="14"/>
  <c r="AC24" i="14"/>
  <c r="AB24" i="14"/>
  <c r="Y24" i="14"/>
  <c r="X24" i="14"/>
  <c r="U24" i="14"/>
  <c r="T24" i="14"/>
  <c r="Q24" i="14"/>
  <c r="P24" i="14"/>
  <c r="M24" i="14"/>
  <c r="L24" i="14"/>
  <c r="K24" i="14"/>
  <c r="I24" i="14"/>
  <c r="H24" i="14"/>
  <c r="G24" i="14"/>
  <c r="C24" i="14"/>
  <c r="D24" i="14" s="1"/>
  <c r="DQ23" i="14"/>
  <c r="DP23" i="14"/>
  <c r="DM23" i="14"/>
  <c r="DK23" i="14"/>
  <c r="DI23" i="14"/>
  <c r="DH23" i="14"/>
  <c r="DE23" i="14"/>
  <c r="DB23" i="14"/>
  <c r="DJ23" i="14" s="1"/>
  <c r="DL23" i="14" s="1"/>
  <c r="DA23" i="14"/>
  <c r="CY23" i="14"/>
  <c r="CX23" i="14"/>
  <c r="CZ23" i="14" s="1"/>
  <c r="CW23" i="14"/>
  <c r="CV23" i="14"/>
  <c r="CT23" i="14"/>
  <c r="CS23" i="14"/>
  <c r="CR23" i="14"/>
  <c r="CM23" i="14"/>
  <c r="CO23" i="14" s="1"/>
  <c r="CL23" i="14"/>
  <c r="CN23" i="14" s="1"/>
  <c r="CK23" i="14"/>
  <c r="CJ23" i="14"/>
  <c r="CG23" i="14"/>
  <c r="CF23" i="14"/>
  <c r="CC23" i="14"/>
  <c r="CB23" i="14"/>
  <c r="BY23" i="14"/>
  <c r="BX23" i="14"/>
  <c r="BS23" i="14"/>
  <c r="BU23" i="14" s="1"/>
  <c r="BR23" i="14"/>
  <c r="BT23" i="14" s="1"/>
  <c r="BQ23" i="14"/>
  <c r="BP23" i="14"/>
  <c r="BM23" i="14"/>
  <c r="BL23" i="14"/>
  <c r="BI23" i="14"/>
  <c r="BH23" i="14"/>
  <c r="BE23" i="14"/>
  <c r="BD23" i="14"/>
  <c r="AY23" i="14"/>
  <c r="BA23" i="14" s="1"/>
  <c r="AX23" i="14"/>
  <c r="DR23" i="14" s="1"/>
  <c r="AW23" i="14"/>
  <c r="AV23" i="14"/>
  <c r="AS23" i="14"/>
  <c r="AR23" i="14"/>
  <c r="AO23" i="14"/>
  <c r="AN23" i="14"/>
  <c r="AK23" i="14"/>
  <c r="AJ23" i="14"/>
  <c r="AG23" i="14"/>
  <c r="AF23" i="14"/>
  <c r="AC23" i="14"/>
  <c r="AB23" i="14"/>
  <c r="Y23" i="14"/>
  <c r="X23" i="14"/>
  <c r="U23" i="14"/>
  <c r="T23" i="14"/>
  <c r="Q23" i="14"/>
  <c r="P23" i="14"/>
  <c r="M23" i="14"/>
  <c r="L23" i="14"/>
  <c r="I23" i="14"/>
  <c r="H23" i="14"/>
  <c r="E23" i="14"/>
  <c r="D23" i="14"/>
  <c r="B23" i="14"/>
  <c r="DS22" i="14"/>
  <c r="DU22" i="14" s="1"/>
  <c r="DQ22" i="14"/>
  <c r="DP22" i="14"/>
  <c r="DM22" i="14"/>
  <c r="DK22" i="14"/>
  <c r="DJ22" i="14"/>
  <c r="DL22" i="14" s="1"/>
  <c r="DI22" i="14"/>
  <c r="DH22" i="14"/>
  <c r="DE22" i="14"/>
  <c r="DD22" i="14"/>
  <c r="DA22" i="14"/>
  <c r="CY22" i="14"/>
  <c r="CX22" i="14"/>
  <c r="CZ22" i="14" s="1"/>
  <c r="CW22" i="14"/>
  <c r="CV22" i="14"/>
  <c r="CS22" i="14"/>
  <c r="CR22" i="14"/>
  <c r="CO22" i="14"/>
  <c r="CM22" i="14"/>
  <c r="CL22" i="14"/>
  <c r="CN22" i="14" s="1"/>
  <c r="CK22" i="14"/>
  <c r="CJ22" i="14"/>
  <c r="CG22" i="14"/>
  <c r="CF22" i="14"/>
  <c r="CC22" i="14"/>
  <c r="CB22" i="14"/>
  <c r="BY22" i="14"/>
  <c r="BX22" i="14"/>
  <c r="BU22" i="14"/>
  <c r="BS22" i="14"/>
  <c r="BR22" i="14"/>
  <c r="BT22" i="14" s="1"/>
  <c r="BQ22" i="14"/>
  <c r="BP22" i="14"/>
  <c r="BM22" i="14"/>
  <c r="BL22" i="14"/>
  <c r="BI22" i="14"/>
  <c r="BH22" i="14"/>
  <c r="BE22" i="14"/>
  <c r="BD22" i="14"/>
  <c r="BA22" i="14"/>
  <c r="AY22" i="14"/>
  <c r="AX22" i="14"/>
  <c r="AZ22" i="14" s="1"/>
  <c r="AW22" i="14"/>
  <c r="AV22" i="14"/>
  <c r="AS22" i="14"/>
  <c r="AR22" i="14"/>
  <c r="AO22" i="14"/>
  <c r="AN22" i="14"/>
  <c r="AK22" i="14"/>
  <c r="AJ22" i="14"/>
  <c r="AG22" i="14"/>
  <c r="AF22" i="14"/>
  <c r="AC22" i="14"/>
  <c r="AB22" i="14"/>
  <c r="Y22" i="14"/>
  <c r="X22" i="14"/>
  <c r="U22" i="14"/>
  <c r="T22" i="14"/>
  <c r="Q22" i="14"/>
  <c r="P22" i="14"/>
  <c r="M22" i="14"/>
  <c r="L22" i="14"/>
  <c r="I22" i="14"/>
  <c r="H22" i="14"/>
  <c r="E22" i="14"/>
  <c r="B22" i="14"/>
  <c r="DR22" i="14" s="1"/>
  <c r="DT22" i="14" s="1"/>
  <c r="DO21" i="14"/>
  <c r="DQ21" i="14" s="1"/>
  <c r="DN21" i="14"/>
  <c r="DP21" i="14" s="1"/>
  <c r="DG21" i="14"/>
  <c r="DI21" i="14" s="1"/>
  <c r="DF21" i="14"/>
  <c r="DH21" i="14" s="1"/>
  <c r="DC21" i="14"/>
  <c r="DE21" i="14" s="1"/>
  <c r="DB21" i="14"/>
  <c r="DD21" i="14" s="1"/>
  <c r="CU21" i="14"/>
  <c r="CW21" i="14" s="1"/>
  <c r="CT21" i="14"/>
  <c r="CV21" i="14" s="1"/>
  <c r="CQ21" i="14"/>
  <c r="CS21" i="14" s="1"/>
  <c r="CP21" i="14"/>
  <c r="CX21" i="14" s="1"/>
  <c r="CI21" i="14"/>
  <c r="CK21" i="14" s="1"/>
  <c r="CH21" i="14"/>
  <c r="CJ21" i="14" s="1"/>
  <c r="CE21" i="14"/>
  <c r="CG21" i="14" s="1"/>
  <c r="CD21" i="14"/>
  <c r="CL21" i="14" s="1"/>
  <c r="CA21" i="14"/>
  <c r="CC21" i="14" s="1"/>
  <c r="BZ21" i="14"/>
  <c r="CB21" i="14" s="1"/>
  <c r="BW21" i="14"/>
  <c r="BY21" i="14" s="1"/>
  <c r="BV21" i="14"/>
  <c r="BX21" i="14" s="1"/>
  <c r="BO21" i="14"/>
  <c r="BQ21" i="14" s="1"/>
  <c r="BN21" i="14"/>
  <c r="BP21" i="14" s="1"/>
  <c r="BK21" i="14"/>
  <c r="BM21" i="14" s="1"/>
  <c r="BJ21" i="14"/>
  <c r="BL21" i="14" s="1"/>
  <c r="BG21" i="14"/>
  <c r="BI21" i="14" s="1"/>
  <c r="BF21" i="14"/>
  <c r="BH21" i="14" s="1"/>
  <c r="BC21" i="14"/>
  <c r="BE21" i="14" s="1"/>
  <c r="BB21" i="14"/>
  <c r="BR21" i="14" s="1"/>
  <c r="AU21" i="14"/>
  <c r="AW21" i="14" s="1"/>
  <c r="AT21" i="14"/>
  <c r="AV21" i="14" s="1"/>
  <c r="AQ21" i="14"/>
  <c r="AS21" i="14" s="1"/>
  <c r="AP21" i="14"/>
  <c r="AR21" i="14" s="1"/>
  <c r="AM21" i="14"/>
  <c r="AO21" i="14" s="1"/>
  <c r="AL21" i="14"/>
  <c r="AN21" i="14" s="1"/>
  <c r="AI21" i="14"/>
  <c r="AK21" i="14" s="1"/>
  <c r="AH21" i="14"/>
  <c r="AJ21" i="14" s="1"/>
  <c r="AE21" i="14"/>
  <c r="AG21" i="14" s="1"/>
  <c r="AD21" i="14"/>
  <c r="AF21" i="14" s="1"/>
  <c r="AA21" i="14"/>
  <c r="AC21" i="14" s="1"/>
  <c r="Z21" i="14"/>
  <c r="AB21" i="14" s="1"/>
  <c r="W21" i="14"/>
  <c r="Y21" i="14" s="1"/>
  <c r="V21" i="14"/>
  <c r="X21" i="14" s="1"/>
  <c r="S21" i="14"/>
  <c r="U21" i="14" s="1"/>
  <c r="R21" i="14"/>
  <c r="T21" i="14" s="1"/>
  <c r="O21" i="14"/>
  <c r="Q21" i="14" s="1"/>
  <c r="N21" i="14"/>
  <c r="P21" i="14" s="1"/>
  <c r="K21" i="14"/>
  <c r="M21" i="14" s="1"/>
  <c r="J21" i="14"/>
  <c r="L21" i="14" s="1"/>
  <c r="G21" i="14"/>
  <c r="I21" i="14" s="1"/>
  <c r="F21" i="14"/>
  <c r="H21" i="14" s="1"/>
  <c r="C21" i="14"/>
  <c r="E21" i="14" s="1"/>
  <c r="DS20" i="14"/>
  <c r="DU20" i="14" s="1"/>
  <c r="DQ20" i="14"/>
  <c r="DP20" i="14"/>
  <c r="DM20" i="14"/>
  <c r="DK20" i="14"/>
  <c r="DI20" i="14"/>
  <c r="DH20" i="14"/>
  <c r="DE20" i="14"/>
  <c r="DB20" i="14"/>
  <c r="DJ20" i="14" s="1"/>
  <c r="DA20" i="14"/>
  <c r="CY20" i="14"/>
  <c r="CX20" i="14"/>
  <c r="CZ20" i="14" s="1"/>
  <c r="CW20" i="14"/>
  <c r="CV20" i="14"/>
  <c r="CS20" i="14"/>
  <c r="CR20" i="14"/>
  <c r="CO20" i="14"/>
  <c r="CM20" i="14"/>
  <c r="CL20" i="14"/>
  <c r="CN20" i="14" s="1"/>
  <c r="CK20" i="14"/>
  <c r="CJ20" i="14"/>
  <c r="CG20" i="14"/>
  <c r="CF20" i="14"/>
  <c r="CC20" i="14"/>
  <c r="CB20" i="14"/>
  <c r="BY20" i="14"/>
  <c r="BX20" i="14"/>
  <c r="BU20" i="14"/>
  <c r="BS20" i="14"/>
  <c r="BR20" i="14"/>
  <c r="BT20" i="14" s="1"/>
  <c r="BQ20" i="14"/>
  <c r="BP20" i="14"/>
  <c r="BM20" i="14"/>
  <c r="BL20" i="14"/>
  <c r="BI20" i="14"/>
  <c r="BH20" i="14"/>
  <c r="BE20" i="14"/>
  <c r="BD20" i="14"/>
  <c r="BA20" i="14"/>
  <c r="AY20" i="14"/>
  <c r="AX20" i="14"/>
  <c r="AZ20" i="14" s="1"/>
  <c r="AW20" i="14"/>
  <c r="AV20" i="14"/>
  <c r="AS20" i="14"/>
  <c r="AR20" i="14"/>
  <c r="AO20" i="14"/>
  <c r="AN20" i="14"/>
  <c r="AK20" i="14"/>
  <c r="AJ20" i="14"/>
  <c r="AG20" i="14"/>
  <c r="AF20" i="14"/>
  <c r="AC20" i="14"/>
  <c r="AB20" i="14"/>
  <c r="Y20" i="14"/>
  <c r="X20" i="14"/>
  <c r="U20" i="14"/>
  <c r="T20" i="14"/>
  <c r="Q20" i="14"/>
  <c r="P20" i="14"/>
  <c r="M20" i="14"/>
  <c r="L20" i="14"/>
  <c r="I20" i="14"/>
  <c r="H20" i="14"/>
  <c r="E20" i="14"/>
  <c r="D20" i="14"/>
  <c r="DQ19" i="14"/>
  <c r="DP19" i="14"/>
  <c r="DK19" i="14"/>
  <c r="DM19" i="14" s="1"/>
  <c r="DJ19" i="14"/>
  <c r="DI19" i="14"/>
  <c r="DH19" i="14"/>
  <c r="DE19" i="14"/>
  <c r="DD19" i="14"/>
  <c r="DB19" i="14"/>
  <c r="DA19" i="14"/>
  <c r="CY19" i="14"/>
  <c r="CW19" i="14"/>
  <c r="CV19" i="14"/>
  <c r="CT19" i="14"/>
  <c r="CX19" i="14" s="1"/>
  <c r="CZ19" i="14" s="1"/>
  <c r="CS19" i="14"/>
  <c r="CR19" i="14"/>
  <c r="CO19" i="14"/>
  <c r="CM19" i="14"/>
  <c r="CL19" i="14"/>
  <c r="CN19" i="14" s="1"/>
  <c r="CK19" i="14"/>
  <c r="CJ19" i="14"/>
  <c r="CG19" i="14"/>
  <c r="CF19" i="14"/>
  <c r="CC19" i="14"/>
  <c r="CB19" i="14"/>
  <c r="BY19" i="14"/>
  <c r="BX19" i="14"/>
  <c r="BU19" i="14"/>
  <c r="BS19" i="14"/>
  <c r="BR19" i="14"/>
  <c r="BT19" i="14" s="1"/>
  <c r="BQ19" i="14"/>
  <c r="BP19" i="14"/>
  <c r="BM19" i="14"/>
  <c r="BL19" i="14"/>
  <c r="BI19" i="14"/>
  <c r="BH19" i="14"/>
  <c r="BE19" i="14"/>
  <c r="BD19" i="14"/>
  <c r="BA19" i="14"/>
  <c r="AY19" i="14"/>
  <c r="DS19" i="14" s="1"/>
  <c r="DU19" i="14" s="1"/>
  <c r="AX19" i="14"/>
  <c r="AZ19" i="14" s="1"/>
  <c r="AW19" i="14"/>
  <c r="AV19" i="14"/>
  <c r="AS19" i="14"/>
  <c r="AR19" i="14"/>
  <c r="AO19" i="14"/>
  <c r="AN19" i="14"/>
  <c r="AK19" i="14"/>
  <c r="AJ19" i="14"/>
  <c r="AG19" i="14"/>
  <c r="AF19" i="14"/>
  <c r="AC19" i="14"/>
  <c r="AB19" i="14"/>
  <c r="Y19" i="14"/>
  <c r="X19" i="14"/>
  <c r="U19" i="14"/>
  <c r="T19" i="14"/>
  <c r="Q19" i="14"/>
  <c r="P19" i="14"/>
  <c r="M19" i="14"/>
  <c r="L19" i="14"/>
  <c r="I19" i="14"/>
  <c r="H19" i="14"/>
  <c r="E19" i="14"/>
  <c r="B19" i="14"/>
  <c r="DR19" i="14" s="1"/>
  <c r="DT19" i="14" s="1"/>
  <c r="DQ18" i="14"/>
  <c r="DP18" i="14"/>
  <c r="DM18" i="14"/>
  <c r="DL18" i="14"/>
  <c r="DK18" i="14"/>
  <c r="DJ18" i="14"/>
  <c r="DI18" i="14"/>
  <c r="DH18" i="14"/>
  <c r="DE18" i="14"/>
  <c r="DD18" i="14"/>
  <c r="DA18" i="14"/>
  <c r="CZ18" i="14"/>
  <c r="CY18" i="14"/>
  <c r="CX18" i="14"/>
  <c r="CW18" i="14"/>
  <c r="CV18" i="14"/>
  <c r="CS18" i="14"/>
  <c r="CR18" i="14"/>
  <c r="CO18" i="14"/>
  <c r="CN18" i="14"/>
  <c r="CM18" i="14"/>
  <c r="CL18" i="14"/>
  <c r="CK18" i="14"/>
  <c r="CJ18" i="14"/>
  <c r="CG18" i="14"/>
  <c r="CF18" i="14"/>
  <c r="CC18" i="14"/>
  <c r="CB18" i="14"/>
  <c r="BY18" i="14"/>
  <c r="BX18" i="14"/>
  <c r="BU18" i="14"/>
  <c r="BT18" i="14"/>
  <c r="BS18" i="14"/>
  <c r="BR18" i="14"/>
  <c r="BQ18" i="14"/>
  <c r="BP18" i="14"/>
  <c r="BM18" i="14"/>
  <c r="BL18" i="14"/>
  <c r="BI18" i="14"/>
  <c r="BH18" i="14"/>
  <c r="BE18" i="14"/>
  <c r="BD18" i="14"/>
  <c r="BA18" i="14"/>
  <c r="AZ18" i="14"/>
  <c r="AY18" i="14"/>
  <c r="AX18" i="14"/>
  <c r="AW18" i="14"/>
  <c r="AV18" i="14"/>
  <c r="AS18" i="14"/>
  <c r="AR18" i="14"/>
  <c r="AO18" i="14"/>
  <c r="AN18" i="14"/>
  <c r="AK18" i="14"/>
  <c r="AJ18" i="14"/>
  <c r="AG18" i="14"/>
  <c r="AF18" i="14"/>
  <c r="AC18" i="14"/>
  <c r="AB18" i="14"/>
  <c r="Y18" i="14"/>
  <c r="X18" i="14"/>
  <c r="U18" i="14"/>
  <c r="T18" i="14"/>
  <c r="Q18" i="14"/>
  <c r="P18" i="14"/>
  <c r="M18" i="14"/>
  <c r="L18" i="14"/>
  <c r="I18" i="14"/>
  <c r="H18" i="14"/>
  <c r="C18" i="14"/>
  <c r="E18" i="14" s="1"/>
  <c r="B18" i="14"/>
  <c r="DR18" i="14" s="1"/>
  <c r="DS17" i="14"/>
  <c r="DU17" i="14" s="1"/>
  <c r="DQ17" i="14"/>
  <c r="DP17" i="14"/>
  <c r="DM17" i="14"/>
  <c r="DK17" i="14"/>
  <c r="DI17" i="14"/>
  <c r="DH17" i="14"/>
  <c r="DE17" i="14"/>
  <c r="DB17" i="14"/>
  <c r="DJ17" i="14" s="1"/>
  <c r="DA17" i="14"/>
  <c r="CY17" i="14"/>
  <c r="CX17" i="14"/>
  <c r="CZ17" i="14" s="1"/>
  <c r="CW17" i="14"/>
  <c r="CV17" i="14"/>
  <c r="CS17" i="14"/>
  <c r="CR17" i="14"/>
  <c r="CO17" i="14"/>
  <c r="CM17" i="14"/>
  <c r="CL17" i="14"/>
  <c r="CN17" i="14" s="1"/>
  <c r="CK17" i="14"/>
  <c r="CJ17" i="14"/>
  <c r="CG17" i="14"/>
  <c r="CF17" i="14"/>
  <c r="CC17" i="14"/>
  <c r="CB17" i="14"/>
  <c r="BY17" i="14"/>
  <c r="BX17" i="14"/>
  <c r="BU17" i="14"/>
  <c r="BS17" i="14"/>
  <c r="BR17" i="14"/>
  <c r="BT17" i="14" s="1"/>
  <c r="BQ17" i="14"/>
  <c r="BP17" i="14"/>
  <c r="BM17" i="14"/>
  <c r="BL17" i="14"/>
  <c r="BI17" i="14"/>
  <c r="BH17" i="14"/>
  <c r="BE17" i="14"/>
  <c r="BD17" i="14"/>
  <c r="BA17" i="14"/>
  <c r="AY17" i="14"/>
  <c r="AX17" i="14"/>
  <c r="AZ17" i="14" s="1"/>
  <c r="AW17" i="14"/>
  <c r="AV17" i="14"/>
  <c r="AS17" i="14"/>
  <c r="AR17" i="14"/>
  <c r="AO17" i="14"/>
  <c r="AN17" i="14"/>
  <c r="AK17" i="14"/>
  <c r="AJ17" i="14"/>
  <c r="AG17" i="14"/>
  <c r="AF17" i="14"/>
  <c r="AC17" i="14"/>
  <c r="AB17" i="14"/>
  <c r="Y17" i="14"/>
  <c r="X17" i="14"/>
  <c r="U17" i="14"/>
  <c r="T17" i="14"/>
  <c r="Q17" i="14"/>
  <c r="P17" i="14"/>
  <c r="M17" i="14"/>
  <c r="L17" i="14"/>
  <c r="I17" i="14"/>
  <c r="H17" i="14"/>
  <c r="E17" i="14"/>
  <c r="D17" i="14"/>
  <c r="DQ16" i="14"/>
  <c r="DP16" i="14"/>
  <c r="DK16" i="14"/>
  <c r="DM16" i="14" s="1"/>
  <c r="DJ16" i="14"/>
  <c r="DI16" i="14"/>
  <c r="DH16" i="14"/>
  <c r="DE16" i="14"/>
  <c r="DD16" i="14"/>
  <c r="CY16" i="14"/>
  <c r="CZ16" i="14" s="1"/>
  <c r="CX16" i="14"/>
  <c r="CW16" i="14"/>
  <c r="CV16" i="14"/>
  <c r="CS16" i="14"/>
  <c r="CR16" i="14"/>
  <c r="CM16" i="14"/>
  <c r="CO16" i="14" s="1"/>
  <c r="CK16" i="14"/>
  <c r="CH16" i="14"/>
  <c r="CL16" i="14" s="1"/>
  <c r="CG16" i="14"/>
  <c r="CF16" i="14"/>
  <c r="CC16" i="14"/>
  <c r="CB16" i="14"/>
  <c r="BY16" i="14"/>
  <c r="BX16" i="14"/>
  <c r="BU16" i="14"/>
  <c r="BT16" i="14"/>
  <c r="BS16" i="14"/>
  <c r="BR16" i="14"/>
  <c r="BQ16" i="14"/>
  <c r="BP16" i="14"/>
  <c r="BM16" i="14"/>
  <c r="BL16" i="14"/>
  <c r="BI16" i="14"/>
  <c r="BH16" i="14"/>
  <c r="BE16" i="14"/>
  <c r="BD16" i="14"/>
  <c r="BA16" i="14"/>
  <c r="AZ16" i="14"/>
  <c r="AY16" i="14"/>
  <c r="DS16" i="14" s="1"/>
  <c r="DU16" i="14" s="1"/>
  <c r="AX16" i="14"/>
  <c r="AW16" i="14"/>
  <c r="AV16" i="14"/>
  <c r="AS16" i="14"/>
  <c r="AR16" i="14"/>
  <c r="AO16" i="14"/>
  <c r="AN16" i="14"/>
  <c r="AK16" i="14"/>
  <c r="AJ16" i="14"/>
  <c r="AG16" i="14"/>
  <c r="AF16" i="14"/>
  <c r="AC16" i="14"/>
  <c r="AB16" i="14"/>
  <c r="Y16" i="14"/>
  <c r="X16" i="14"/>
  <c r="U16" i="14"/>
  <c r="T16" i="14"/>
  <c r="Q16" i="14"/>
  <c r="P16" i="14"/>
  <c r="M16" i="14"/>
  <c r="L16" i="14"/>
  <c r="I16" i="14"/>
  <c r="H16" i="14"/>
  <c r="E16" i="14"/>
  <c r="D16" i="14"/>
  <c r="DQ15" i="14"/>
  <c r="DP15" i="14"/>
  <c r="DK15" i="14"/>
  <c r="DM15" i="14" s="1"/>
  <c r="DJ15" i="14"/>
  <c r="DL15" i="14" s="1"/>
  <c r="DI15" i="14"/>
  <c r="DH15" i="14"/>
  <c r="DE15" i="14"/>
  <c r="DD15" i="14"/>
  <c r="CU15" i="14"/>
  <c r="CW15" i="14" s="1"/>
  <c r="CT15" i="14"/>
  <c r="CV15" i="14" s="1"/>
  <c r="CS15" i="14"/>
  <c r="CP15" i="14"/>
  <c r="CR15" i="14" s="1"/>
  <c r="CO15" i="14"/>
  <c r="CM15" i="14"/>
  <c r="CK15" i="14"/>
  <c r="CJ15" i="14"/>
  <c r="CG15" i="14"/>
  <c r="CD15" i="14"/>
  <c r="CL15" i="14" s="1"/>
  <c r="CN15" i="14" s="1"/>
  <c r="CA15" i="14"/>
  <c r="CC15" i="14" s="1"/>
  <c r="BZ15" i="14"/>
  <c r="CB15" i="14" s="1"/>
  <c r="BW15" i="14"/>
  <c r="BY15" i="14" s="1"/>
  <c r="BV15" i="14"/>
  <c r="BX15" i="14" s="1"/>
  <c r="BS15" i="14"/>
  <c r="BU15" i="14" s="1"/>
  <c r="BR15" i="14"/>
  <c r="BT15" i="14" s="1"/>
  <c r="BQ15" i="14"/>
  <c r="BP15" i="14"/>
  <c r="BM15" i="14"/>
  <c r="BL15" i="14"/>
  <c r="BI15" i="14"/>
  <c r="BH15" i="14"/>
  <c r="BE15" i="14"/>
  <c r="BD15" i="14"/>
  <c r="AY15" i="14"/>
  <c r="AX15" i="14"/>
  <c r="AW15" i="14"/>
  <c r="AV15" i="14"/>
  <c r="AS15" i="14"/>
  <c r="AR15" i="14"/>
  <c r="AO15" i="14"/>
  <c r="AN15" i="14"/>
  <c r="AK15" i="14"/>
  <c r="AJ15" i="14"/>
  <c r="AG15" i="14"/>
  <c r="AF15" i="14"/>
  <c r="AC15" i="14"/>
  <c r="AB15" i="14"/>
  <c r="Y15" i="14"/>
  <c r="X15" i="14"/>
  <c r="U15" i="14"/>
  <c r="T15" i="14"/>
  <c r="Q15" i="14"/>
  <c r="P15" i="14"/>
  <c r="M15" i="14"/>
  <c r="L15" i="14"/>
  <c r="I15" i="14"/>
  <c r="H15" i="14"/>
  <c r="E15" i="14"/>
  <c r="D15" i="14"/>
  <c r="DR14" i="14"/>
  <c r="DT14" i="14" s="1"/>
  <c r="DQ14" i="14"/>
  <c r="DP14" i="14"/>
  <c r="DM14" i="14"/>
  <c r="DL14" i="14"/>
  <c r="DK14" i="14"/>
  <c r="DJ14" i="14"/>
  <c r="DI14" i="14"/>
  <c r="DH14" i="14"/>
  <c r="DE14" i="14"/>
  <c r="DD14" i="14"/>
  <c r="DA14" i="14"/>
  <c r="CZ14" i="14"/>
  <c r="CY14" i="14"/>
  <c r="CX14" i="14"/>
  <c r="CW14" i="14"/>
  <c r="CV14" i="14"/>
  <c r="CS14" i="14"/>
  <c r="CR14" i="14"/>
  <c r="CO14" i="14"/>
  <c r="CN14" i="14"/>
  <c r="CM14" i="14"/>
  <c r="CL14" i="14"/>
  <c r="CK14" i="14"/>
  <c r="CJ14" i="14"/>
  <c r="CG14" i="14"/>
  <c r="CF14" i="14"/>
  <c r="CC14" i="14"/>
  <c r="CB14" i="14"/>
  <c r="BY14" i="14"/>
  <c r="BX14" i="14"/>
  <c r="BU14" i="14"/>
  <c r="BT14" i="14"/>
  <c r="BS14" i="14"/>
  <c r="BR14" i="14"/>
  <c r="BQ14" i="14"/>
  <c r="BP14" i="14"/>
  <c r="BM14" i="14"/>
  <c r="BL14" i="14"/>
  <c r="BI14" i="14"/>
  <c r="BH14" i="14"/>
  <c r="BE14" i="14"/>
  <c r="BD14" i="14"/>
  <c r="BA14" i="14"/>
  <c r="AZ14" i="14"/>
  <c r="AY14" i="14"/>
  <c r="AX14" i="14"/>
  <c r="AW14" i="14"/>
  <c r="AV14" i="14"/>
  <c r="AS14" i="14"/>
  <c r="AR14" i="14"/>
  <c r="AO14" i="14"/>
  <c r="AN14" i="14"/>
  <c r="AK14" i="14"/>
  <c r="AJ14" i="14"/>
  <c r="AG14" i="14"/>
  <c r="AF14" i="14"/>
  <c r="AC14" i="14"/>
  <c r="AB14" i="14"/>
  <c r="Y14" i="14"/>
  <c r="X14" i="14"/>
  <c r="U14" i="14"/>
  <c r="T14" i="14"/>
  <c r="Q14" i="14"/>
  <c r="P14" i="14"/>
  <c r="N14" i="14"/>
  <c r="M14" i="14"/>
  <c r="L14" i="14"/>
  <c r="I14" i="14"/>
  <c r="H14" i="14"/>
  <c r="C14" i="14"/>
  <c r="DS14" i="14" s="1"/>
  <c r="DU14" i="14" s="1"/>
  <c r="B14" i="14"/>
  <c r="DQ13" i="14"/>
  <c r="DP13" i="14"/>
  <c r="DM13" i="14"/>
  <c r="DK13" i="14"/>
  <c r="DJ13" i="14"/>
  <c r="DL13" i="14" s="1"/>
  <c r="DI13" i="14"/>
  <c r="DH13" i="14"/>
  <c r="DE13" i="14"/>
  <c r="DD13" i="14"/>
  <c r="DA13" i="14"/>
  <c r="CY13" i="14"/>
  <c r="CX13" i="14"/>
  <c r="CZ13" i="14" s="1"/>
  <c r="CW13" i="14"/>
  <c r="CV13" i="14"/>
  <c r="CS13" i="14"/>
  <c r="CR13" i="14"/>
  <c r="CO13" i="14"/>
  <c r="CM13" i="14"/>
  <c r="CL13" i="14"/>
  <c r="CN13" i="14" s="1"/>
  <c r="CK13" i="14"/>
  <c r="CJ13" i="14"/>
  <c r="CG13" i="14"/>
  <c r="CF13" i="14"/>
  <c r="CC13" i="14"/>
  <c r="CB13" i="14"/>
  <c r="BY13" i="14"/>
  <c r="BX13" i="14"/>
  <c r="BU13" i="14"/>
  <c r="BS13" i="14"/>
  <c r="BR13" i="14"/>
  <c r="BT13" i="14" s="1"/>
  <c r="BQ13" i="14"/>
  <c r="BP13" i="14"/>
  <c r="BM13" i="14"/>
  <c r="BL13" i="14"/>
  <c r="BI13" i="14"/>
  <c r="BH13" i="14"/>
  <c r="BE13" i="14"/>
  <c r="BD13" i="14"/>
  <c r="BA13" i="14"/>
  <c r="AY13" i="14"/>
  <c r="AX13" i="14"/>
  <c r="AZ13" i="14" s="1"/>
  <c r="AW13" i="14"/>
  <c r="AV13" i="14"/>
  <c r="AS13" i="14"/>
  <c r="AR13" i="14"/>
  <c r="AO13" i="14"/>
  <c r="AN13" i="14"/>
  <c r="AK13" i="14"/>
  <c r="AJ13" i="14"/>
  <c r="AG13" i="14"/>
  <c r="AF13" i="14"/>
  <c r="AC13" i="14"/>
  <c r="AB13" i="14"/>
  <c r="Y13" i="14"/>
  <c r="X13" i="14"/>
  <c r="U13" i="14"/>
  <c r="T13" i="14"/>
  <c r="Q13" i="14"/>
  <c r="P13" i="14"/>
  <c r="K13" i="14"/>
  <c r="M13" i="14" s="1"/>
  <c r="J13" i="14"/>
  <c r="DR13" i="14" s="1"/>
  <c r="I13" i="14"/>
  <c r="H13" i="14"/>
  <c r="E13" i="14"/>
  <c r="D13" i="14"/>
  <c r="DO12" i="14"/>
  <c r="DP12" i="14" s="1"/>
  <c r="DN12" i="14"/>
  <c r="DN29" i="14" s="1"/>
  <c r="DG12" i="14"/>
  <c r="DH12" i="14" s="1"/>
  <c r="DF12" i="14"/>
  <c r="DF29" i="14" s="1"/>
  <c r="DC12" i="14"/>
  <c r="DE12" i="14" s="1"/>
  <c r="DB12" i="14"/>
  <c r="DB29" i="14" s="1"/>
  <c r="CU12" i="14"/>
  <c r="CU29" i="14" s="1"/>
  <c r="CT12" i="14"/>
  <c r="CT29" i="14" s="1"/>
  <c r="CQ12" i="14"/>
  <c r="CS12" i="14" s="1"/>
  <c r="CP12" i="14"/>
  <c r="CP29" i="14" s="1"/>
  <c r="CI12" i="14"/>
  <c r="CK12" i="14" s="1"/>
  <c r="CH12" i="14"/>
  <c r="CH29" i="14" s="1"/>
  <c r="CE12" i="14"/>
  <c r="CF12" i="14" s="1"/>
  <c r="CD12" i="14"/>
  <c r="CD29" i="14" s="1"/>
  <c r="CA12" i="14"/>
  <c r="CC12" i="14" s="1"/>
  <c r="BZ12" i="14"/>
  <c r="BZ29" i="14" s="1"/>
  <c r="BW12" i="14"/>
  <c r="BX12" i="14" s="1"/>
  <c r="BV12" i="14"/>
  <c r="BV29" i="14" s="1"/>
  <c r="BO12" i="14"/>
  <c r="BP12" i="14" s="1"/>
  <c r="BN12" i="14"/>
  <c r="BN29" i="14" s="1"/>
  <c r="BK12" i="14"/>
  <c r="BK29" i="14" s="1"/>
  <c r="BJ12" i="14"/>
  <c r="BJ29" i="14" s="1"/>
  <c r="BG12" i="14"/>
  <c r="BH12" i="14" s="1"/>
  <c r="BF12" i="14"/>
  <c r="BF29" i="14" s="1"/>
  <c r="BC12" i="14"/>
  <c r="BE12" i="14" s="1"/>
  <c r="BB12" i="14"/>
  <c r="BR12" i="14" s="1"/>
  <c r="AU12" i="14"/>
  <c r="AW12" i="14" s="1"/>
  <c r="AT12" i="14"/>
  <c r="AT29" i="14" s="1"/>
  <c r="AQ12" i="14"/>
  <c r="AR12" i="14" s="1"/>
  <c r="AP12" i="14"/>
  <c r="AP29" i="14" s="1"/>
  <c r="AM12" i="14"/>
  <c r="AO12" i="14" s="1"/>
  <c r="AL12" i="14"/>
  <c r="AL29" i="14" s="1"/>
  <c r="AI12" i="14"/>
  <c r="AI29" i="14" s="1"/>
  <c r="AH12" i="14"/>
  <c r="AH29" i="14" s="1"/>
  <c r="AE12" i="14"/>
  <c r="AF12" i="14" s="1"/>
  <c r="AD12" i="14"/>
  <c r="AD29" i="14" s="1"/>
  <c r="AA12" i="14"/>
  <c r="AA29" i="14" s="1"/>
  <c r="Z12" i="14"/>
  <c r="Z29" i="14" s="1"/>
  <c r="W12" i="14"/>
  <c r="X12" i="14" s="1"/>
  <c r="V12" i="14"/>
  <c r="AX12" i="14" s="1"/>
  <c r="S12" i="14"/>
  <c r="S29" i="14" s="1"/>
  <c r="R12" i="14"/>
  <c r="R29" i="14" s="1"/>
  <c r="O12" i="14"/>
  <c r="P12" i="14" s="1"/>
  <c r="N12" i="14"/>
  <c r="N29" i="14" s="1"/>
  <c r="K12" i="14"/>
  <c r="K29" i="14" s="1"/>
  <c r="J12" i="14"/>
  <c r="J29" i="14" s="1"/>
  <c r="G12" i="14"/>
  <c r="H12" i="14" s="1"/>
  <c r="F12" i="14"/>
  <c r="F29" i="14" s="1"/>
  <c r="C12" i="14"/>
  <c r="E12" i="14" s="1"/>
  <c r="B12" i="14"/>
  <c r="DS11" i="14"/>
  <c r="DU11" i="14" s="1"/>
  <c r="DQ11" i="14"/>
  <c r="DP11" i="14"/>
  <c r="DM11" i="14"/>
  <c r="DK11" i="14"/>
  <c r="DJ11" i="14"/>
  <c r="DL11" i="14" s="1"/>
  <c r="DI11" i="14"/>
  <c r="DH11" i="14"/>
  <c r="DE11" i="14"/>
  <c r="DD11" i="14"/>
  <c r="DA11" i="14"/>
  <c r="CY11" i="14"/>
  <c r="CX11" i="14"/>
  <c r="CZ11" i="14" s="1"/>
  <c r="CW11" i="14"/>
  <c r="CV11" i="14"/>
  <c r="CS11" i="14"/>
  <c r="CR11" i="14"/>
  <c r="CO11" i="14"/>
  <c r="CM11" i="14"/>
  <c r="CL11" i="14"/>
  <c r="CN11" i="14" s="1"/>
  <c r="CK11" i="14"/>
  <c r="CJ11" i="14"/>
  <c r="CG11" i="14"/>
  <c r="CF11" i="14"/>
  <c r="CC11" i="14"/>
  <c r="CB11" i="14"/>
  <c r="BY11" i="14"/>
  <c r="BX11" i="14"/>
  <c r="BU11" i="14"/>
  <c r="BS11" i="14"/>
  <c r="BR11" i="14"/>
  <c r="BT11" i="14" s="1"/>
  <c r="BQ11" i="14"/>
  <c r="BP11" i="14"/>
  <c r="BM11" i="14"/>
  <c r="BL11" i="14"/>
  <c r="BI11" i="14"/>
  <c r="BH11" i="14"/>
  <c r="BE11" i="14"/>
  <c r="BD11" i="14"/>
  <c r="BA11" i="14"/>
  <c r="AY11" i="14"/>
  <c r="AX11" i="14"/>
  <c r="DR11" i="14" s="1"/>
  <c r="DT11" i="14" s="1"/>
  <c r="AW11" i="14"/>
  <c r="AV11" i="14"/>
  <c r="AS11" i="14"/>
  <c r="AR11" i="14"/>
  <c r="AO11" i="14"/>
  <c r="AN11" i="14"/>
  <c r="AK11" i="14"/>
  <c r="AJ11" i="14"/>
  <c r="AG11" i="14"/>
  <c r="AF11" i="14"/>
  <c r="AC11" i="14"/>
  <c r="AB11" i="14"/>
  <c r="Y11" i="14"/>
  <c r="X11" i="14"/>
  <c r="U11" i="14"/>
  <c r="T11" i="14"/>
  <c r="Q11" i="14"/>
  <c r="P11" i="14"/>
  <c r="M11" i="14"/>
  <c r="L11" i="14"/>
  <c r="I11" i="14"/>
  <c r="H11" i="14"/>
  <c r="F11" i="14"/>
  <c r="E11" i="14"/>
  <c r="D11" i="14"/>
  <c r="DS10" i="14"/>
  <c r="DU10" i="14" s="1"/>
  <c r="DR10" i="14"/>
  <c r="DT10" i="14" s="1"/>
  <c r="DQ10" i="14"/>
  <c r="DP10" i="14"/>
  <c r="DM10" i="14"/>
  <c r="DL10" i="14"/>
  <c r="DK10" i="14"/>
  <c r="DJ10" i="14"/>
  <c r="DI10" i="14"/>
  <c r="DH10" i="14"/>
  <c r="DE10" i="14"/>
  <c r="DD10" i="14"/>
  <c r="DA10" i="14"/>
  <c r="CZ10" i="14"/>
  <c r="CY10" i="14"/>
  <c r="CX10" i="14"/>
  <c r="CW10" i="14"/>
  <c r="CV10" i="14"/>
  <c r="CS10" i="14"/>
  <c r="CR10" i="14"/>
  <c r="CO10" i="14"/>
  <c r="CN10" i="14"/>
  <c r="CM10" i="14"/>
  <c r="CL10" i="14"/>
  <c r="CK10" i="14"/>
  <c r="CJ10" i="14"/>
  <c r="CG10" i="14"/>
  <c r="CF10" i="14"/>
  <c r="CC10" i="14"/>
  <c r="CB10" i="14"/>
  <c r="BY10" i="14"/>
  <c r="BX10" i="14"/>
  <c r="BU10" i="14"/>
  <c r="BT10" i="14"/>
  <c r="BS10" i="14"/>
  <c r="BR10" i="14"/>
  <c r="BQ10" i="14"/>
  <c r="BP10" i="14"/>
  <c r="BM10" i="14"/>
  <c r="BL10" i="14"/>
  <c r="BI10" i="14"/>
  <c r="BH10" i="14"/>
  <c r="BE10" i="14"/>
  <c r="BD10" i="14"/>
  <c r="BA10" i="14"/>
  <c r="AZ10" i="14"/>
  <c r="AY10" i="14"/>
  <c r="AX10" i="14"/>
  <c r="AW10" i="14"/>
  <c r="AV10" i="14"/>
  <c r="AS10" i="14"/>
  <c r="AR10" i="14"/>
  <c r="AO10" i="14"/>
  <c r="AN10" i="14"/>
  <c r="AK10" i="14"/>
  <c r="AJ10" i="14"/>
  <c r="AG10" i="14"/>
  <c r="AF10" i="14"/>
  <c r="AC10" i="14"/>
  <c r="AB10" i="14"/>
  <c r="Y10" i="14"/>
  <c r="X10" i="14"/>
  <c r="U10" i="14"/>
  <c r="T10" i="14"/>
  <c r="Q10" i="14"/>
  <c r="P10" i="14"/>
  <c r="M10" i="14"/>
  <c r="L10" i="14"/>
  <c r="I10" i="14"/>
  <c r="H10" i="14"/>
  <c r="G10" i="14"/>
  <c r="F10" i="14"/>
  <c r="E10" i="14"/>
  <c r="D10" i="14"/>
  <c r="DS9" i="14"/>
  <c r="DU9" i="14" s="1"/>
  <c r="DR9" i="14"/>
  <c r="DT9" i="14" s="1"/>
  <c r="DQ9" i="14"/>
  <c r="DP9" i="14"/>
  <c r="DM9" i="14"/>
  <c r="DL9" i="14"/>
  <c r="DK9" i="14"/>
  <c r="DJ9" i="14"/>
  <c r="DI9" i="14"/>
  <c r="DH9" i="14"/>
  <c r="DE9" i="14"/>
  <c r="DD9" i="14"/>
  <c r="DA9" i="14"/>
  <c r="CZ9" i="14"/>
  <c r="CY9" i="14"/>
  <c r="CX9" i="14"/>
  <c r="CW9" i="14"/>
  <c r="CV9" i="14"/>
  <c r="CS9" i="14"/>
  <c r="CR9" i="14"/>
  <c r="CO9" i="14"/>
  <c r="CN9" i="14"/>
  <c r="CM9" i="14"/>
  <c r="CL9" i="14"/>
  <c r="CK9" i="14"/>
  <c r="CJ9" i="14"/>
  <c r="CG9" i="14"/>
  <c r="CF9" i="14"/>
  <c r="CC9" i="14"/>
  <c r="CB9" i="14"/>
  <c r="BY9" i="14"/>
  <c r="BX9" i="14"/>
  <c r="BU9" i="14"/>
  <c r="BT9" i="14"/>
  <c r="BS9" i="14"/>
  <c r="BR9" i="14"/>
  <c r="BQ9" i="14"/>
  <c r="BP9" i="14"/>
  <c r="BM9" i="14"/>
  <c r="BL9" i="14"/>
  <c r="BI9" i="14"/>
  <c r="BH9" i="14"/>
  <c r="BE9" i="14"/>
  <c r="BD9" i="14"/>
  <c r="BA9" i="14"/>
  <c r="AZ9" i="14"/>
  <c r="AY9" i="14"/>
  <c r="AX9" i="14"/>
  <c r="AW9" i="14"/>
  <c r="AV9" i="14"/>
  <c r="AS9" i="14"/>
  <c r="AR9" i="14"/>
  <c r="AO9" i="14"/>
  <c r="AN9" i="14"/>
  <c r="AK9" i="14"/>
  <c r="AJ9" i="14"/>
  <c r="AG9" i="14"/>
  <c r="AF9" i="14"/>
  <c r="AC9" i="14"/>
  <c r="AB9" i="14"/>
  <c r="Y9" i="14"/>
  <c r="X9" i="14"/>
  <c r="U9" i="14"/>
  <c r="T9" i="14"/>
  <c r="Q9" i="14"/>
  <c r="P9" i="14"/>
  <c r="M9" i="14"/>
  <c r="L9" i="14"/>
  <c r="I9" i="14"/>
  <c r="H9" i="14"/>
  <c r="E9" i="14"/>
  <c r="D9" i="14"/>
  <c r="DQ8" i="14"/>
  <c r="DP8" i="14"/>
  <c r="DK8" i="14"/>
  <c r="DM8" i="14" s="1"/>
  <c r="DJ8" i="14"/>
  <c r="DL8" i="14" s="1"/>
  <c r="DI8" i="14"/>
  <c r="DH8" i="14"/>
  <c r="DE8" i="14"/>
  <c r="DD8" i="14"/>
  <c r="CY8" i="14"/>
  <c r="DA8" i="14" s="1"/>
  <c r="CX8" i="14"/>
  <c r="CZ8" i="14" s="1"/>
  <c r="CW8" i="14"/>
  <c r="CV8" i="14"/>
  <c r="CS8" i="14"/>
  <c r="CR8" i="14"/>
  <c r="CM8" i="14"/>
  <c r="CO8" i="14" s="1"/>
  <c r="CL8" i="14"/>
  <c r="CN8" i="14" s="1"/>
  <c r="CK8" i="14"/>
  <c r="CJ8" i="14"/>
  <c r="CG8" i="14"/>
  <c r="CF8" i="14"/>
  <c r="CC8" i="14"/>
  <c r="CB8" i="14"/>
  <c r="BY8" i="14"/>
  <c r="BX8" i="14"/>
  <c r="BS8" i="14"/>
  <c r="BU8" i="14" s="1"/>
  <c r="BR8" i="14"/>
  <c r="BT8" i="14" s="1"/>
  <c r="BQ8" i="14"/>
  <c r="BP8" i="14"/>
  <c r="BM8" i="14"/>
  <c r="BL8" i="14"/>
  <c r="BI8" i="14"/>
  <c r="BH8" i="14"/>
  <c r="BE8" i="14"/>
  <c r="BD8" i="14"/>
  <c r="BC8" i="14"/>
  <c r="BB8" i="14"/>
  <c r="BB29" i="14" s="1"/>
  <c r="AW8" i="14"/>
  <c r="AV8" i="14"/>
  <c r="AS8" i="14"/>
  <c r="AR8" i="14"/>
  <c r="AO8" i="14"/>
  <c r="AN8" i="14"/>
  <c r="AK8" i="14"/>
  <c r="AJ8" i="14"/>
  <c r="AG8" i="14"/>
  <c r="AF8" i="14"/>
  <c r="AC8" i="14"/>
  <c r="AB8" i="14"/>
  <c r="Y8" i="14"/>
  <c r="X8" i="14"/>
  <c r="W8" i="14"/>
  <c r="AY8" i="14" s="1"/>
  <c r="V8" i="14"/>
  <c r="V29" i="14" s="1"/>
  <c r="U8" i="14"/>
  <c r="T8" i="14"/>
  <c r="Q8" i="14"/>
  <c r="P8" i="14"/>
  <c r="M8" i="14"/>
  <c r="L8" i="14"/>
  <c r="I8" i="14"/>
  <c r="H8" i="14"/>
  <c r="E8" i="14"/>
  <c r="D8" i="14"/>
  <c r="G53" i="3"/>
  <c r="F53" i="3"/>
  <c r="G47" i="3"/>
  <c r="F47" i="3"/>
  <c r="G41" i="3"/>
  <c r="G34" i="3"/>
  <c r="G33" i="3"/>
  <c r="G32" i="3"/>
  <c r="G31" i="3"/>
  <c r="G30" i="3"/>
  <c r="G29" i="3"/>
  <c r="G28" i="3"/>
  <c r="G27" i="3"/>
  <c r="G26" i="3"/>
  <c r="G25" i="3"/>
  <c r="G24" i="3"/>
  <c r="G22" i="3"/>
  <c r="E21" i="3"/>
  <c r="E23" i="3" s="1"/>
  <c r="G23" i="3" s="1"/>
  <c r="G20" i="3"/>
  <c r="E19" i="3"/>
  <c r="G18" i="3"/>
  <c r="G17" i="3"/>
  <c r="G16" i="3"/>
  <c r="E15" i="3"/>
  <c r="G15" i="3" s="1"/>
  <c r="G14" i="3"/>
  <c r="G13" i="3"/>
  <c r="F12" i="3"/>
  <c r="F35" i="3" s="1"/>
  <c r="E11" i="3"/>
  <c r="G11" i="3" s="1"/>
  <c r="G53" i="17"/>
  <c r="F53" i="17"/>
  <c r="G47" i="17"/>
  <c r="F47" i="17"/>
  <c r="G41" i="17"/>
  <c r="F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E11" i="17"/>
  <c r="G11" i="17" s="1"/>
  <c r="B55" i="3" l="1"/>
  <c r="B71" i="3"/>
  <c r="G35" i="17"/>
  <c r="AC29" i="14"/>
  <c r="AA30" i="14"/>
  <c r="F30" i="14"/>
  <c r="N30" i="14"/>
  <c r="AD30" i="14"/>
  <c r="AL30" i="14"/>
  <c r="AN29" i="14"/>
  <c r="AT30" i="14"/>
  <c r="BF30" i="14"/>
  <c r="BH29" i="14"/>
  <c r="BN30" i="14"/>
  <c r="BZ30" i="14"/>
  <c r="CH30" i="14"/>
  <c r="CT30" i="14"/>
  <c r="CV29" i="14"/>
  <c r="DF30" i="14"/>
  <c r="D26" i="14"/>
  <c r="BV39" i="14"/>
  <c r="BX35" i="14"/>
  <c r="K30" i="14"/>
  <c r="M29" i="14"/>
  <c r="AK29" i="14"/>
  <c r="AI30" i="14"/>
  <c r="AT68" i="14"/>
  <c r="AV68" i="14" s="1"/>
  <c r="AV59" i="14"/>
  <c r="V30" i="14"/>
  <c r="AX29" i="14"/>
  <c r="X29" i="14"/>
  <c r="BB30" i="14"/>
  <c r="BR29" i="14"/>
  <c r="CU30" i="14"/>
  <c r="CW29" i="14"/>
  <c r="DR16" i="14"/>
  <c r="DT16" i="14" s="1"/>
  <c r="CN16" i="14"/>
  <c r="DT55" i="14"/>
  <c r="S30" i="14"/>
  <c r="U29" i="14"/>
  <c r="BK30" i="14"/>
  <c r="BM29" i="14"/>
  <c r="DL26" i="14"/>
  <c r="DS8" i="14"/>
  <c r="B29" i="14"/>
  <c r="J30" i="14"/>
  <c r="L29" i="14"/>
  <c r="R30" i="14"/>
  <c r="T29" i="14"/>
  <c r="Z30" i="14"/>
  <c r="AB29" i="14"/>
  <c r="AH30" i="14"/>
  <c r="AJ29" i="14"/>
  <c r="AP30" i="14"/>
  <c r="BJ30" i="14"/>
  <c r="BL29" i="14"/>
  <c r="BV30" i="14"/>
  <c r="CL29" i="14"/>
  <c r="CD30" i="14"/>
  <c r="CX29" i="14"/>
  <c r="CR29" i="14"/>
  <c r="CP30" i="14"/>
  <c r="DJ29" i="14"/>
  <c r="DB30" i="14"/>
  <c r="DD29" i="14"/>
  <c r="DN30" i="14"/>
  <c r="DL17" i="14"/>
  <c r="DR17" i="14"/>
  <c r="DT17" i="14" s="1"/>
  <c r="DR20" i="14"/>
  <c r="DT20" i="14" s="1"/>
  <c r="DL20" i="14"/>
  <c r="BT21" i="14"/>
  <c r="DT36" i="14"/>
  <c r="AY12" i="14"/>
  <c r="BA12" i="14" s="1"/>
  <c r="BS12" i="14"/>
  <c r="BU12" i="14" s="1"/>
  <c r="CM12" i="14"/>
  <c r="CO12" i="14" s="1"/>
  <c r="DK12" i="14"/>
  <c r="DM12" i="14" s="1"/>
  <c r="CX15" i="14"/>
  <c r="DR15" i="14" s="1"/>
  <c r="B21" i="14"/>
  <c r="AX21" i="14"/>
  <c r="AX26" i="14"/>
  <c r="AZ26" i="14" s="1"/>
  <c r="CL26" i="14"/>
  <c r="CX26" i="14"/>
  <c r="G29" i="14"/>
  <c r="CA29" i="14"/>
  <c r="CY12" i="14"/>
  <c r="DA12" i="14" s="1"/>
  <c r="DS13" i="14"/>
  <c r="DU13" i="14" s="1"/>
  <c r="DJ21" i="14"/>
  <c r="BR26" i="14"/>
  <c r="DR27" i="14"/>
  <c r="DT27" i="14" s="1"/>
  <c r="O29" i="14"/>
  <c r="P29" i="14" s="1"/>
  <c r="W29" i="14"/>
  <c r="AE29" i="14"/>
  <c r="AM29" i="14"/>
  <c r="AU29" i="14"/>
  <c r="BC29" i="14"/>
  <c r="BD29" i="14" s="1"/>
  <c r="BO29" i="14"/>
  <c r="CE29" i="14"/>
  <c r="CI29" i="14"/>
  <c r="CQ29" i="14"/>
  <c r="DC29" i="14"/>
  <c r="DO29" i="14"/>
  <c r="CZ32" i="14"/>
  <c r="BA33" i="14"/>
  <c r="BS35" i="14"/>
  <c r="E39" i="14"/>
  <c r="U39" i="14"/>
  <c r="AK39" i="14"/>
  <c r="BI39" i="14"/>
  <c r="BY39" i="14"/>
  <c r="DE39" i="14"/>
  <c r="G45" i="14"/>
  <c r="I45" i="14" s="1"/>
  <c r="DS41" i="14"/>
  <c r="DU41" i="14" s="1"/>
  <c r="I41" i="14"/>
  <c r="DS42" i="14"/>
  <c r="DU42" i="14" s="1"/>
  <c r="I42" i="14"/>
  <c r="DS43" i="14"/>
  <c r="DU43" i="14" s="1"/>
  <c r="I43" i="14"/>
  <c r="G59" i="14"/>
  <c r="I54" i="14"/>
  <c r="AX54" i="14"/>
  <c r="AZ54" i="14" s="1"/>
  <c r="X54" i="14"/>
  <c r="CT59" i="14"/>
  <c r="CV54" i="14"/>
  <c r="BC63" i="14"/>
  <c r="BE60" i="14"/>
  <c r="BS60" i="14"/>
  <c r="BA66" i="14"/>
  <c r="X76" i="14"/>
  <c r="BR76" i="14"/>
  <c r="BD76" i="14"/>
  <c r="V82" i="14"/>
  <c r="X78" i="14"/>
  <c r="AX78" i="14"/>
  <c r="BJ82" i="14"/>
  <c r="BL82" i="14" s="1"/>
  <c r="BL78" i="14"/>
  <c r="CL88" i="14"/>
  <c r="CF88" i="14"/>
  <c r="DB88" i="14"/>
  <c r="DJ84" i="14"/>
  <c r="DL84" i="14" s="1"/>
  <c r="DD84" i="14"/>
  <c r="BJ95" i="14"/>
  <c r="BL95" i="14" s="1"/>
  <c r="BR91" i="14"/>
  <c r="BL91" i="14"/>
  <c r="D12" i="14"/>
  <c r="L12" i="14"/>
  <c r="T12" i="14"/>
  <c r="AB12" i="14"/>
  <c r="AJ12" i="14"/>
  <c r="AN12" i="14"/>
  <c r="AV12" i="14"/>
  <c r="BD12" i="14"/>
  <c r="BL12" i="14"/>
  <c r="CB12" i="14"/>
  <c r="CJ12" i="14"/>
  <c r="CR12" i="14"/>
  <c r="CV12" i="14"/>
  <c r="DD12" i="14"/>
  <c r="L13" i="14"/>
  <c r="CF15" i="14"/>
  <c r="CJ16" i="14"/>
  <c r="DL16" i="14"/>
  <c r="D19" i="14"/>
  <c r="DL19" i="14"/>
  <c r="AY21" i="14"/>
  <c r="D22" i="14"/>
  <c r="DS23" i="14"/>
  <c r="DU23" i="14" s="1"/>
  <c r="BT24" i="14"/>
  <c r="CZ24" i="14"/>
  <c r="DL24" i="14"/>
  <c r="C26" i="14"/>
  <c r="C29" i="14" s="1"/>
  <c r="AY26" i="14"/>
  <c r="BA26" i="14" s="1"/>
  <c r="CM26" i="14"/>
  <c r="CO26" i="14" s="1"/>
  <c r="CY26" i="14"/>
  <c r="DA26" i="14" s="1"/>
  <c r="DK26" i="14"/>
  <c r="DM26" i="14" s="1"/>
  <c r="R39" i="14"/>
  <c r="T35" i="14"/>
  <c r="AH39" i="14"/>
  <c r="AJ35" i="14"/>
  <c r="BN39" i="14"/>
  <c r="BP35" i="14"/>
  <c r="CD39" i="14"/>
  <c r="CF35" i="14"/>
  <c r="CT39" i="14"/>
  <c r="CV35" i="14"/>
  <c r="DU37" i="14"/>
  <c r="DD38" i="14"/>
  <c r="CZ40" i="14"/>
  <c r="H41" i="14"/>
  <c r="CZ41" i="14"/>
  <c r="CZ42" i="14"/>
  <c r="H43" i="14"/>
  <c r="DR45" i="14"/>
  <c r="X46" i="14"/>
  <c r="BJ51" i="14"/>
  <c r="BL51" i="14" s="1"/>
  <c r="BL46" i="14"/>
  <c r="L49" i="14"/>
  <c r="G51" i="14"/>
  <c r="AV51" i="14"/>
  <c r="DP51" i="14"/>
  <c r="DS52" i="14"/>
  <c r="E52" i="14"/>
  <c r="AV54" i="14"/>
  <c r="CA59" i="14"/>
  <c r="CC54" i="14"/>
  <c r="CU59" i="14"/>
  <c r="CY59" i="14" s="1"/>
  <c r="CW54" i="14"/>
  <c r="AD59" i="14"/>
  <c r="BX60" i="14"/>
  <c r="BV63" i="14"/>
  <c r="BY60" i="14"/>
  <c r="BA61" i="14"/>
  <c r="CY63" i="14"/>
  <c r="AD67" i="14"/>
  <c r="AF67" i="14" s="1"/>
  <c r="AF65" i="14"/>
  <c r="AS67" i="14"/>
  <c r="AQ68" i="14"/>
  <c r="AS68" i="14" s="1"/>
  <c r="BQ67" i="14"/>
  <c r="BO68" i="14"/>
  <c r="CR67" i="14"/>
  <c r="Y76" i="14"/>
  <c r="AY76" i="14"/>
  <c r="F82" i="14"/>
  <c r="H80" i="14"/>
  <c r="DB82" i="14"/>
  <c r="DJ80" i="14"/>
  <c r="DL80" i="14" s="1"/>
  <c r="DD80" i="14"/>
  <c r="X88" i="14"/>
  <c r="AG88" i="14"/>
  <c r="AF88" i="14"/>
  <c r="CO89" i="14"/>
  <c r="CN89" i="14"/>
  <c r="CT95" i="14"/>
  <c r="CV95" i="14" s="1"/>
  <c r="CV91" i="14"/>
  <c r="CX91" i="14"/>
  <c r="CZ91" i="14" s="1"/>
  <c r="CZ93" i="14"/>
  <c r="AX8" i="14"/>
  <c r="BA8" i="14" s="1"/>
  <c r="I12" i="14"/>
  <c r="M12" i="14"/>
  <c r="Q12" i="14"/>
  <c r="U12" i="14"/>
  <c r="Y12" i="14"/>
  <c r="AC12" i="14"/>
  <c r="AG12" i="14"/>
  <c r="AK12" i="14"/>
  <c r="AS12" i="14"/>
  <c r="BI12" i="14"/>
  <c r="BM12" i="14"/>
  <c r="BQ12" i="14"/>
  <c r="BY12" i="14"/>
  <c r="CG12" i="14"/>
  <c r="CW12" i="14"/>
  <c r="DI12" i="14"/>
  <c r="DQ12" i="14"/>
  <c r="E14" i="14"/>
  <c r="AZ15" i="14"/>
  <c r="DA16" i="14"/>
  <c r="DD17" i="14"/>
  <c r="D18" i="14"/>
  <c r="DD20" i="14"/>
  <c r="BD21" i="14"/>
  <c r="CF21" i="14"/>
  <c r="CR21" i="14"/>
  <c r="AZ23" i="14"/>
  <c r="DD23" i="14"/>
  <c r="E24" i="14"/>
  <c r="BA24" i="14"/>
  <c r="CO24" i="14"/>
  <c r="DS24" i="14"/>
  <c r="DU24" i="14" s="1"/>
  <c r="DD26" i="14"/>
  <c r="DD27" i="14"/>
  <c r="AZ28" i="14"/>
  <c r="AZ32" i="14"/>
  <c r="DR33" i="14"/>
  <c r="DT33" i="14" s="1"/>
  <c r="BX33" i="14"/>
  <c r="L34" i="14"/>
  <c r="DJ34" i="14"/>
  <c r="DL34" i="14" s="1"/>
  <c r="DD34" i="14"/>
  <c r="AY35" i="14"/>
  <c r="CM35" i="14"/>
  <c r="CO35" i="14" s="1"/>
  <c r="DK35" i="14"/>
  <c r="DM35" i="14" s="1"/>
  <c r="L38" i="14"/>
  <c r="AY38" i="14"/>
  <c r="BA38" i="14" s="1"/>
  <c r="CF38" i="14"/>
  <c r="CX38" i="14"/>
  <c r="CZ38" i="14" s="1"/>
  <c r="G39" i="14"/>
  <c r="O39" i="14"/>
  <c r="W39" i="14"/>
  <c r="AE39" i="14"/>
  <c r="AM39" i="14"/>
  <c r="AU39" i="14"/>
  <c r="BC39" i="14"/>
  <c r="BK39" i="14"/>
  <c r="CA39" i="14"/>
  <c r="CI39" i="14"/>
  <c r="CQ39" i="14"/>
  <c r="DG39" i="14"/>
  <c r="DO39" i="14"/>
  <c r="CN40" i="14"/>
  <c r="CN41" i="14"/>
  <c r="CN42" i="14"/>
  <c r="CN43" i="14"/>
  <c r="CN44" i="14"/>
  <c r="DS45" i="14"/>
  <c r="DU45" i="14" s="1"/>
  <c r="BR45" i="14"/>
  <c r="BT45" i="14" s="1"/>
  <c r="AY46" i="14"/>
  <c r="CN46" i="14"/>
  <c r="DF51" i="14"/>
  <c r="DJ46" i="14"/>
  <c r="DL46" i="14" s="1"/>
  <c r="DR48" i="14"/>
  <c r="AZ48" i="14"/>
  <c r="DS48" i="14"/>
  <c r="DU48" i="14" s="1"/>
  <c r="F51" i="14"/>
  <c r="H51" i="14" s="1"/>
  <c r="DR49" i="14"/>
  <c r="H49" i="14"/>
  <c r="CF50" i="14"/>
  <c r="W51" i="14"/>
  <c r="AB51" i="14"/>
  <c r="AR51" i="14"/>
  <c r="CC51" i="14"/>
  <c r="CY51" i="14"/>
  <c r="DA51" i="14" s="1"/>
  <c r="DD51" i="14"/>
  <c r="D52" i="14"/>
  <c r="AY52" i="14"/>
  <c r="BA52" i="14" s="1"/>
  <c r="C59" i="14"/>
  <c r="E54" i="14"/>
  <c r="K59" i="14"/>
  <c r="M54" i="14"/>
  <c r="Y54" i="14"/>
  <c r="AP59" i="14"/>
  <c r="AR54" i="14"/>
  <c r="BC59" i="14"/>
  <c r="BE54" i="14"/>
  <c r="BN59" i="14"/>
  <c r="BP54" i="14"/>
  <c r="BV59" i="14"/>
  <c r="BX54" i="14"/>
  <c r="CF59" i="14"/>
  <c r="CP59" i="14"/>
  <c r="CR54" i="14"/>
  <c r="CX54" i="14"/>
  <c r="DS54" i="14"/>
  <c r="DS55" i="14"/>
  <c r="DU55" i="14" s="1"/>
  <c r="BA55" i="14"/>
  <c r="DR56" i="14"/>
  <c r="H56" i="14"/>
  <c r="AZ58" i="14"/>
  <c r="CN58" i="14"/>
  <c r="R59" i="14"/>
  <c r="L60" i="14"/>
  <c r="J63" i="14"/>
  <c r="M60" i="14"/>
  <c r="DN63" i="14"/>
  <c r="DP63" i="14" s="1"/>
  <c r="DP60" i="14"/>
  <c r="DR62" i="14"/>
  <c r="BT62" i="14"/>
  <c r="DA62" i="14"/>
  <c r="J67" i="14"/>
  <c r="L65" i="14"/>
  <c r="AK67" i="14"/>
  <c r="AI68" i="14"/>
  <c r="AK68" i="14" s="1"/>
  <c r="BI67" i="14"/>
  <c r="BG68" i="14"/>
  <c r="BI68" i="14" s="1"/>
  <c r="CF67" i="14"/>
  <c r="CN69" i="14"/>
  <c r="AZ73" i="14"/>
  <c r="CN73" i="14"/>
  <c r="DL73" i="14"/>
  <c r="H76" i="14"/>
  <c r="CX76" i="14"/>
  <c r="CZ76" i="14" s="1"/>
  <c r="CR76" i="14"/>
  <c r="BD75" i="14"/>
  <c r="BE75" i="14"/>
  <c r="CV78" i="14"/>
  <c r="CX78" i="14"/>
  <c r="CZ78" i="14" s="1"/>
  <c r="DL79" i="14"/>
  <c r="I80" i="14"/>
  <c r="X80" i="14"/>
  <c r="AX80" i="14"/>
  <c r="D81" i="14"/>
  <c r="CO91" i="14"/>
  <c r="DS91" i="14"/>
  <c r="BR95" i="14"/>
  <c r="CG95" i="14"/>
  <c r="CM95" i="14"/>
  <c r="CO95" i="14" s="1"/>
  <c r="M96" i="14"/>
  <c r="K103" i="14"/>
  <c r="R103" i="14"/>
  <c r="T103" i="14" s="1"/>
  <c r="T96" i="14"/>
  <c r="AZ96" i="14"/>
  <c r="L101" i="14"/>
  <c r="E102" i="14"/>
  <c r="DS102" i="14"/>
  <c r="AQ29" i="14"/>
  <c r="BG29" i="14"/>
  <c r="BW29" i="14"/>
  <c r="BX29" i="14" s="1"/>
  <c r="DG29" i="14"/>
  <c r="B39" i="14"/>
  <c r="D32" i="14"/>
  <c r="CY35" i="14"/>
  <c r="DA35" i="14" s="1"/>
  <c r="BS38" i="14"/>
  <c r="BE38" i="14"/>
  <c r="AC39" i="14"/>
  <c r="AQ111" i="14"/>
  <c r="AS111" i="14" s="1"/>
  <c r="AS39" i="14"/>
  <c r="BQ39" i="14"/>
  <c r="CG39" i="14"/>
  <c r="CW39" i="14"/>
  <c r="DK39" i="14"/>
  <c r="DM39" i="14" s="1"/>
  <c r="DS44" i="14"/>
  <c r="DU44" i="14" s="1"/>
  <c r="I44" i="14"/>
  <c r="H45" i="14"/>
  <c r="AX45" i="14"/>
  <c r="AZ45" i="14" s="1"/>
  <c r="BR51" i="14"/>
  <c r="BT51" i="14" s="1"/>
  <c r="BE51" i="14"/>
  <c r="CM51" i="14"/>
  <c r="CO51" i="14" s="1"/>
  <c r="AH59" i="14"/>
  <c r="BH59" i="14"/>
  <c r="I63" i="14"/>
  <c r="AD63" i="14"/>
  <c r="AF63" i="14" s="1"/>
  <c r="AF60" i="14"/>
  <c r="CR63" i="14"/>
  <c r="DR61" i="14"/>
  <c r="AZ61" i="14"/>
  <c r="BD67" i="14"/>
  <c r="U67" i="14"/>
  <c r="S68" i="14"/>
  <c r="U68" i="14" s="1"/>
  <c r="E70" i="14"/>
  <c r="DS70" i="14"/>
  <c r="DU70" i="14" s="1"/>
  <c r="D70" i="14"/>
  <c r="C76" i="14"/>
  <c r="BA70" i="14"/>
  <c r="AZ70" i="14"/>
  <c r="DS74" i="14"/>
  <c r="D74" i="14"/>
  <c r="BE76" i="14"/>
  <c r="CX81" i="14"/>
  <c r="CZ81" i="14" s="1"/>
  <c r="CR81" i="14"/>
  <c r="BS83" i="14"/>
  <c r="BU83" i="14" s="1"/>
  <c r="BE83" i="14"/>
  <c r="BC88" i="14"/>
  <c r="BD83" i="14"/>
  <c r="AO103" i="14"/>
  <c r="AN103" i="14"/>
  <c r="AY103" i="14"/>
  <c r="AK109" i="14"/>
  <c r="AJ109" i="14"/>
  <c r="D14" i="14"/>
  <c r="CY15" i="14"/>
  <c r="DA15" i="14" s="1"/>
  <c r="DS18" i="14"/>
  <c r="DU18" i="14" s="1"/>
  <c r="BS21" i="14"/>
  <c r="BU21" i="14" s="1"/>
  <c r="CM21" i="14"/>
  <c r="CY21" i="14"/>
  <c r="DA21" i="14" s="1"/>
  <c r="DK21" i="14"/>
  <c r="DM21" i="14" s="1"/>
  <c r="BS26" i="14"/>
  <c r="BU26" i="14" s="1"/>
  <c r="BT32" i="14"/>
  <c r="DS32" i="14"/>
  <c r="DU32" i="14" s="1"/>
  <c r="J35" i="14"/>
  <c r="Z39" i="14"/>
  <c r="AB35" i="14"/>
  <c r="AP39" i="14"/>
  <c r="AR35" i="14"/>
  <c r="BF39" i="14"/>
  <c r="BH35" i="14"/>
  <c r="CL35" i="14"/>
  <c r="CN35" i="14" s="1"/>
  <c r="DB39" i="14"/>
  <c r="DD35" i="14"/>
  <c r="DJ35" i="14"/>
  <c r="DL35" i="14" s="1"/>
  <c r="AZ38" i="14"/>
  <c r="H42" i="14"/>
  <c r="CZ43" i="14"/>
  <c r="H44" i="14"/>
  <c r="CZ44" i="14"/>
  <c r="DS46" i="14"/>
  <c r="I46" i="14"/>
  <c r="T46" i="14"/>
  <c r="BS46" i="14"/>
  <c r="BE46" i="14"/>
  <c r="DU47" i="14"/>
  <c r="DS49" i="14"/>
  <c r="DU49" i="14" s="1"/>
  <c r="AZ50" i="14"/>
  <c r="DS50" i="14"/>
  <c r="DU50" i="14" s="1"/>
  <c r="AF51" i="14"/>
  <c r="BP51" i="14"/>
  <c r="BX51" i="14"/>
  <c r="CV51" i="14"/>
  <c r="DK51" i="14"/>
  <c r="DM51" i="14" s="1"/>
  <c r="AZ52" i="14"/>
  <c r="DR54" i="14"/>
  <c r="DT54" i="14" s="1"/>
  <c r="D54" i="14"/>
  <c r="BD59" i="14"/>
  <c r="BU54" i="14"/>
  <c r="BR58" i="14"/>
  <c r="BT58" i="14" s="1"/>
  <c r="BD58" i="14"/>
  <c r="J59" i="14"/>
  <c r="V59" i="14"/>
  <c r="BZ59" i="14"/>
  <c r="BF63" i="14"/>
  <c r="BH63" i="14" s="1"/>
  <c r="BH60" i="14"/>
  <c r="D67" i="14"/>
  <c r="V67" i="14"/>
  <c r="AX65" i="14"/>
  <c r="X65" i="14"/>
  <c r="Y65" i="14"/>
  <c r="T67" i="14"/>
  <c r="CG67" i="14"/>
  <c r="CE68" i="14"/>
  <c r="CY67" i="14"/>
  <c r="DA67" i="14" s="1"/>
  <c r="N76" i="14"/>
  <c r="P70" i="14"/>
  <c r="CJ76" i="14"/>
  <c r="BU75" i="14"/>
  <c r="BR80" i="14"/>
  <c r="BT80" i="14" s="1"/>
  <c r="BL80" i="14"/>
  <c r="DS80" i="14"/>
  <c r="CS88" i="14"/>
  <c r="CY88" i="14"/>
  <c r="CD95" i="14"/>
  <c r="CL91" i="14"/>
  <c r="CN91" i="14" s="1"/>
  <c r="CF91" i="14"/>
  <c r="DS103" i="14"/>
  <c r="CS103" i="14"/>
  <c r="CY103" i="14"/>
  <c r="CR103" i="14"/>
  <c r="Y109" i="14"/>
  <c r="AY109" i="14"/>
  <c r="X109" i="14"/>
  <c r="AZ11" i="14"/>
  <c r="CL12" i="14"/>
  <c r="CX12" i="14"/>
  <c r="CZ12" i="14" s="1"/>
  <c r="DJ12" i="14"/>
  <c r="DL12" i="14" s="1"/>
  <c r="BA15" i="14"/>
  <c r="BT33" i="14"/>
  <c r="F39" i="14"/>
  <c r="H35" i="14"/>
  <c r="N39" i="14"/>
  <c r="P35" i="14"/>
  <c r="V39" i="14"/>
  <c r="X35" i="14"/>
  <c r="AD39" i="14"/>
  <c r="AF35" i="14"/>
  <c r="AL39" i="14"/>
  <c r="AN35" i="14"/>
  <c r="AT39" i="14"/>
  <c r="AV35" i="14"/>
  <c r="BB39" i="14"/>
  <c r="BD35" i="14"/>
  <c r="BJ39" i="14"/>
  <c r="BL35" i="14"/>
  <c r="BR35" i="14"/>
  <c r="BT35" i="14" s="1"/>
  <c r="BZ39" i="14"/>
  <c r="CB35" i="14"/>
  <c r="CH39" i="14"/>
  <c r="CJ35" i="14"/>
  <c r="CP39" i="14"/>
  <c r="CR35" i="14"/>
  <c r="CX35" i="14"/>
  <c r="CZ35" i="14" s="1"/>
  <c r="DF39" i="14"/>
  <c r="DH35" i="14"/>
  <c r="DN39" i="14"/>
  <c r="DP35" i="14"/>
  <c r="DS36" i="14"/>
  <c r="DU36" i="14" s="1"/>
  <c r="X38" i="14"/>
  <c r="BR38" i="14"/>
  <c r="BT38" i="14" s="1"/>
  <c r="BD38" i="14"/>
  <c r="DS40" i="14"/>
  <c r="DU40" i="14" s="1"/>
  <c r="BA40" i="14"/>
  <c r="DT40" i="14"/>
  <c r="DT41" i="14"/>
  <c r="DT42" i="14"/>
  <c r="DT43" i="14"/>
  <c r="DT44" i="14"/>
  <c r="B51" i="14"/>
  <c r="D46" i="14"/>
  <c r="CD51" i="14"/>
  <c r="M47" i="14"/>
  <c r="L47" i="14"/>
  <c r="DR50" i="14"/>
  <c r="DT50" i="14" s="1"/>
  <c r="K51" i="14"/>
  <c r="X51" i="14"/>
  <c r="CR51" i="14"/>
  <c r="X52" i="14"/>
  <c r="BS52" i="14"/>
  <c r="BU52" i="14" s="1"/>
  <c r="BE52" i="14"/>
  <c r="BT52" i="14"/>
  <c r="DL52" i="14"/>
  <c r="DT53" i="14"/>
  <c r="F59" i="14"/>
  <c r="H54" i="14"/>
  <c r="Z59" i="14"/>
  <c r="AB54" i="14"/>
  <c r="AL68" i="14"/>
  <c r="AN68" i="14" s="1"/>
  <c r="AN59" i="14"/>
  <c r="BA54" i="14"/>
  <c r="BJ68" i="14"/>
  <c r="BL68" i="14" s="1"/>
  <c r="BL59" i="14"/>
  <c r="BW59" i="14"/>
  <c r="BY54" i="14"/>
  <c r="CY54" i="14"/>
  <c r="DA54" i="14" s="1"/>
  <c r="BT55" i="14"/>
  <c r="CZ55" i="14"/>
  <c r="CN56" i="14"/>
  <c r="DS56" i="14"/>
  <c r="DU56" i="14" s="1"/>
  <c r="CB57" i="14"/>
  <c r="CZ57" i="14"/>
  <c r="B59" i="14"/>
  <c r="BR59" i="14"/>
  <c r="DF68" i="14"/>
  <c r="DH68" i="14" s="1"/>
  <c r="DH59" i="14"/>
  <c r="BR60" i="14"/>
  <c r="BT60" i="14" s="1"/>
  <c r="CT63" i="14"/>
  <c r="CV63" i="14" s="1"/>
  <c r="CV60" i="14"/>
  <c r="CX60" i="14"/>
  <c r="CZ60" i="14" s="1"/>
  <c r="DS62" i="14"/>
  <c r="DU62" i="14" s="1"/>
  <c r="BA62" i="14"/>
  <c r="AZ62" i="14"/>
  <c r="I64" i="14"/>
  <c r="DS64" i="14"/>
  <c r="BT65" i="14"/>
  <c r="CN67" i="14"/>
  <c r="AX66" i="14"/>
  <c r="AZ66" i="14" s="1"/>
  <c r="X66" i="14"/>
  <c r="Y66" i="14"/>
  <c r="CZ66" i="14"/>
  <c r="G67" i="14"/>
  <c r="AC67" i="14"/>
  <c r="AA68" i="14"/>
  <c r="AC68" i="14" s="1"/>
  <c r="CZ67" i="14"/>
  <c r="DE67" i="14"/>
  <c r="DC68" i="14"/>
  <c r="CQ68" i="14"/>
  <c r="BU69" i="14"/>
  <c r="BT69" i="14"/>
  <c r="DM70" i="14"/>
  <c r="DL70" i="14"/>
  <c r="DS73" i="14"/>
  <c r="DU73" i="14" s="1"/>
  <c r="BA73" i="14"/>
  <c r="DH76" i="14"/>
  <c r="BV82" i="14"/>
  <c r="BX77" i="14"/>
  <c r="BY77" i="14"/>
  <c r="BB82" i="14"/>
  <c r="BR78" i="14"/>
  <c r="BT78" i="14" s="1"/>
  <c r="CD82" i="14"/>
  <c r="CL78" i="14"/>
  <c r="CN78" i="14" s="1"/>
  <c r="CF78" i="14"/>
  <c r="DS79" i="14"/>
  <c r="DU79" i="14" s="1"/>
  <c r="BA79" i="14"/>
  <c r="DA79" i="14"/>
  <c r="CZ79" i="14"/>
  <c r="AZ86" i="14"/>
  <c r="BU106" i="14"/>
  <c r="AS109" i="14"/>
  <c r="AR109" i="14"/>
  <c r="BR46" i="14"/>
  <c r="BT46" i="14" s="1"/>
  <c r="CX46" i="14"/>
  <c r="DR57" i="14"/>
  <c r="D57" i="14"/>
  <c r="CN57" i="14"/>
  <c r="DL57" i="14"/>
  <c r="DS58" i="14"/>
  <c r="DU58" i="14" s="1"/>
  <c r="N68" i="14"/>
  <c r="P68" i="14" s="1"/>
  <c r="P59" i="14"/>
  <c r="CH68" i="14"/>
  <c r="CJ68" i="14" s="1"/>
  <c r="CJ59" i="14"/>
  <c r="DB68" i="14"/>
  <c r="DD59" i="14"/>
  <c r="DN68" i="14"/>
  <c r="DP68" i="14" s="1"/>
  <c r="DP59" i="14"/>
  <c r="H60" i="14"/>
  <c r="F63" i="14"/>
  <c r="H63" i="14" s="1"/>
  <c r="BA60" i="14"/>
  <c r="CD63" i="14"/>
  <c r="CD68" i="14" s="1"/>
  <c r="CL60" i="14"/>
  <c r="CN60" i="14" s="1"/>
  <c r="CF60" i="14"/>
  <c r="BT61" i="14"/>
  <c r="DL62" i="14"/>
  <c r="Y63" i="14"/>
  <c r="M65" i="14"/>
  <c r="AP67" i="14"/>
  <c r="AR67" i="14" s="1"/>
  <c r="AR65" i="14"/>
  <c r="BN67" i="14"/>
  <c r="BP67" i="14" s="1"/>
  <c r="BP65" i="14"/>
  <c r="L66" i="14"/>
  <c r="BS66" i="14"/>
  <c r="BU66" i="14" s="1"/>
  <c r="CN66" i="14"/>
  <c r="Y67" i="14"/>
  <c r="BC67" i="14"/>
  <c r="CA67" i="14"/>
  <c r="CC67" i="14" s="1"/>
  <c r="DS69" i="14"/>
  <c r="DU69" i="14" s="1"/>
  <c r="BA69" i="14"/>
  <c r="DT69" i="14"/>
  <c r="DR73" i="14"/>
  <c r="DT73" i="14" s="1"/>
  <c r="P73" i="14"/>
  <c r="BT73" i="14"/>
  <c r="CZ73" i="14"/>
  <c r="Y75" i="14"/>
  <c r="AY75" i="14"/>
  <c r="X75" i="14"/>
  <c r="D80" i="14"/>
  <c r="CZ80" i="14"/>
  <c r="CL81" i="14"/>
  <c r="CN81" i="14" s="1"/>
  <c r="CF81" i="14"/>
  <c r="J88" i="14"/>
  <c r="L88" i="14" s="1"/>
  <c r="L83" i="14"/>
  <c r="M83" i="14"/>
  <c r="BZ88" i="14"/>
  <c r="CB88" i="14" s="1"/>
  <c r="CB83" i="14"/>
  <c r="DA83" i="14"/>
  <c r="DS84" i="14"/>
  <c r="CL84" i="14"/>
  <c r="CN84" i="14" s="1"/>
  <c r="CF84" i="14"/>
  <c r="CT88" i="14"/>
  <c r="CV88" i="14" s="1"/>
  <c r="CV84" i="14"/>
  <c r="CX84" i="14"/>
  <c r="CZ84" i="14" s="1"/>
  <c r="DR85" i="14"/>
  <c r="DT85" i="14" s="1"/>
  <c r="AZ85" i="14"/>
  <c r="BI88" i="14"/>
  <c r="BH88" i="14"/>
  <c r="CO93" i="14"/>
  <c r="CN93" i="14"/>
  <c r="X95" i="14"/>
  <c r="DE95" i="14"/>
  <c r="DK95" i="14"/>
  <c r="DM95" i="14" s="1"/>
  <c r="DS98" i="14"/>
  <c r="T99" i="14"/>
  <c r="BA99" i="14"/>
  <c r="DS99" i="14"/>
  <c r="DU99" i="14" s="1"/>
  <c r="BV109" i="14"/>
  <c r="BX106" i="14"/>
  <c r="CP109" i="14"/>
  <c r="CX106" i="14"/>
  <c r="CZ106" i="14" s="1"/>
  <c r="CR106" i="14"/>
  <c r="CO108" i="14"/>
  <c r="CN108" i="14"/>
  <c r="DS108" i="14"/>
  <c r="DU108" i="14" s="1"/>
  <c r="CF33" i="14"/>
  <c r="AX46" i="14"/>
  <c r="AZ46" i="14" s="1"/>
  <c r="DS57" i="14"/>
  <c r="DU57" i="14" s="1"/>
  <c r="D60" i="14"/>
  <c r="B63" i="14"/>
  <c r="AT63" i="14"/>
  <c r="AV63" i="14" s="1"/>
  <c r="AV60" i="14"/>
  <c r="BB63" i="14"/>
  <c r="BD60" i="14"/>
  <c r="CB60" i="14"/>
  <c r="BZ63" i="14"/>
  <c r="CB63" i="14" s="1"/>
  <c r="CZ61" i="14"/>
  <c r="CW62" i="14"/>
  <c r="CV62" i="14"/>
  <c r="DR64" i="14"/>
  <c r="DT64" i="14" s="1"/>
  <c r="AZ64" i="14"/>
  <c r="Z67" i="14"/>
  <c r="AB67" i="14" s="1"/>
  <c r="AB65" i="14"/>
  <c r="CZ65" i="14"/>
  <c r="DS65" i="14"/>
  <c r="K67" i="14"/>
  <c r="M67" i="14" s="1"/>
  <c r="DJ67" i="14"/>
  <c r="DL67" i="14" s="1"/>
  <c r="DS71" i="14"/>
  <c r="E71" i="14"/>
  <c r="D71" i="14"/>
  <c r="AZ71" i="14"/>
  <c r="CN71" i="14"/>
  <c r="DL71" i="14"/>
  <c r="DR72" i="14"/>
  <c r="DT72" i="14" s="1"/>
  <c r="N74" i="14"/>
  <c r="P74" i="14" s="1"/>
  <c r="P72" i="14"/>
  <c r="DR75" i="14"/>
  <c r="CM76" i="14"/>
  <c r="DK76" i="14"/>
  <c r="CN77" i="14"/>
  <c r="BZ82" i="14"/>
  <c r="CB82" i="14" s="1"/>
  <c r="CB78" i="14"/>
  <c r="CN79" i="14"/>
  <c r="K82" i="14"/>
  <c r="M80" i="14"/>
  <c r="BD88" i="14"/>
  <c r="BT83" i="14"/>
  <c r="DR87" i="14"/>
  <c r="BR87" i="14"/>
  <c r="BT87" i="14" s="1"/>
  <c r="BL87" i="14"/>
  <c r="AC88" i="14"/>
  <c r="AB88" i="14"/>
  <c r="AY88" i="14"/>
  <c r="CJ88" i="14"/>
  <c r="DI88" i="14"/>
  <c r="DK88" i="14"/>
  <c r="DM88" i="14" s="1"/>
  <c r="DH88" i="14"/>
  <c r="DB95" i="14"/>
  <c r="DJ91" i="14"/>
  <c r="DL91" i="14" s="1"/>
  <c r="DD91" i="14"/>
  <c r="DT94" i="14"/>
  <c r="H95" i="14"/>
  <c r="AY95" i="14"/>
  <c r="BA95" i="14" s="1"/>
  <c r="Y95" i="14"/>
  <c r="CR95" i="14"/>
  <c r="CX95" i="14"/>
  <c r="DM96" i="14"/>
  <c r="DL96" i="14"/>
  <c r="CN97" i="14"/>
  <c r="X98" i="14"/>
  <c r="CN98" i="14"/>
  <c r="DJ99" i="14"/>
  <c r="DD99" i="14"/>
  <c r="D100" i="14"/>
  <c r="BR100" i="14"/>
  <c r="BD100" i="14"/>
  <c r="DM104" i="14"/>
  <c r="DL104" i="14"/>
  <c r="J109" i="14"/>
  <c r="L106" i="14"/>
  <c r="M106" i="14"/>
  <c r="CY61" i="14"/>
  <c r="DA61" i="14" s="1"/>
  <c r="DR71" i="14"/>
  <c r="DT71" i="14" s="1"/>
  <c r="AL74" i="14"/>
  <c r="AX74" i="14"/>
  <c r="AZ74" i="14" s="1"/>
  <c r="BR74" i="14"/>
  <c r="BT74" i="14" s="1"/>
  <c r="CL74" i="14"/>
  <c r="CN74" i="14" s="1"/>
  <c r="CX74" i="14"/>
  <c r="CZ74" i="14" s="1"/>
  <c r="DJ74" i="14"/>
  <c r="DL74" i="14" s="1"/>
  <c r="CT82" i="14"/>
  <c r="G82" i="14"/>
  <c r="I82" i="14" s="1"/>
  <c r="CY80" i="14"/>
  <c r="DA80" i="14" s="1"/>
  <c r="BC82" i="14"/>
  <c r="BS81" i="14"/>
  <c r="BE81" i="14"/>
  <c r="F88" i="14"/>
  <c r="H88" i="14" s="1"/>
  <c r="H83" i="14"/>
  <c r="AL88" i="14"/>
  <c r="DS83" i="14"/>
  <c r="DS85" i="14"/>
  <c r="DU85" i="14" s="1"/>
  <c r="AX87" i="14"/>
  <c r="AZ87" i="14" s="1"/>
  <c r="CM88" i="14"/>
  <c r="CO88" i="14" s="1"/>
  <c r="CW88" i="14"/>
  <c r="AF95" i="14"/>
  <c r="DR92" i="14"/>
  <c r="DT92" i="14" s="1"/>
  <c r="AZ92" i="14"/>
  <c r="DS93" i="14"/>
  <c r="DU93" i="14" s="1"/>
  <c r="BU93" i="14"/>
  <c r="D95" i="14"/>
  <c r="T95" i="14"/>
  <c r="AB95" i="14"/>
  <c r="AR95" i="14"/>
  <c r="I96" i="14"/>
  <c r="G103" i="14"/>
  <c r="I103" i="14" s="1"/>
  <c r="H96" i="14"/>
  <c r="BV103" i="14"/>
  <c r="BX103" i="14" s="1"/>
  <c r="BU97" i="14"/>
  <c r="BT97" i="14"/>
  <c r="DR98" i="14"/>
  <c r="DT98" i="14" s="1"/>
  <c r="D98" i="14"/>
  <c r="E98" i="14"/>
  <c r="AZ99" i="14"/>
  <c r="BT99" i="14"/>
  <c r="DS100" i="14"/>
  <c r="E100" i="14"/>
  <c r="BJ103" i="14"/>
  <c r="BL103" i="14" s="1"/>
  <c r="BL100" i="14"/>
  <c r="DT105" i="14"/>
  <c r="CL107" i="14"/>
  <c r="CN107" i="14" s="1"/>
  <c r="CF107" i="14"/>
  <c r="BT110" i="14"/>
  <c r="D72" i="14"/>
  <c r="J82" i="14"/>
  <c r="L82" i="14" s="1"/>
  <c r="P77" i="14"/>
  <c r="CP82" i="14"/>
  <c r="CV77" i="14"/>
  <c r="DR77" i="14"/>
  <c r="DT77" i="14" s="1"/>
  <c r="B82" i="14"/>
  <c r="DS78" i="14"/>
  <c r="BV88" i="14"/>
  <c r="BX88" i="14" s="1"/>
  <c r="BX83" i="14"/>
  <c r="CP88" i="14"/>
  <c r="CX83" i="14"/>
  <c r="CZ83" i="14" s="1"/>
  <c r="DR84" i="14"/>
  <c r="DT84" i="14" s="1"/>
  <c r="BR84" i="14"/>
  <c r="BT84" i="14" s="1"/>
  <c r="BD84" i="14"/>
  <c r="BJ88" i="14"/>
  <c r="BL88" i="14" s="1"/>
  <c r="BT86" i="14"/>
  <c r="DJ86" i="14"/>
  <c r="DL86" i="14" s="1"/>
  <c r="DD86" i="14"/>
  <c r="E88" i="14"/>
  <c r="M88" i="14"/>
  <c r="DS89" i="14"/>
  <c r="DU89" i="14" s="1"/>
  <c r="BA89" i="14"/>
  <c r="DR90" i="14"/>
  <c r="DU92" i="14"/>
  <c r="AX93" i="14"/>
  <c r="AJ93" i="14"/>
  <c r="B103" i="14"/>
  <c r="D96" i="14"/>
  <c r="CH103" i="14"/>
  <c r="CJ103" i="14" s="1"/>
  <c r="CJ96" i="14"/>
  <c r="DS97" i="14"/>
  <c r="DU97" i="14" s="1"/>
  <c r="DJ101" i="14"/>
  <c r="DL101" i="14" s="1"/>
  <c r="DD101" i="14"/>
  <c r="DR102" i="14"/>
  <c r="DT102" i="14" s="1"/>
  <c r="D102" i="14"/>
  <c r="DJ102" i="14"/>
  <c r="DL102" i="14" s="1"/>
  <c r="DD102" i="14"/>
  <c r="Y103" i="14"/>
  <c r="AK103" i="14"/>
  <c r="AJ103" i="14"/>
  <c r="BI103" i="14"/>
  <c r="BH103" i="14"/>
  <c r="DI103" i="14"/>
  <c r="DH103" i="14"/>
  <c r="DR104" i="14"/>
  <c r="DT104" i="14" s="1"/>
  <c r="AL109" i="14"/>
  <c r="AN109" i="14" s="1"/>
  <c r="AN106" i="14"/>
  <c r="AX106" i="14"/>
  <c r="BB109" i="14"/>
  <c r="BD106" i="14"/>
  <c r="BR106" i="14"/>
  <c r="BT106" i="14" s="1"/>
  <c r="BE106" i="14"/>
  <c r="CX107" i="14"/>
  <c r="CV107" i="14"/>
  <c r="DL109" i="14"/>
  <c r="AH95" i="14"/>
  <c r="BC95" i="14"/>
  <c r="BD95" i="14" s="1"/>
  <c r="CY95" i="14"/>
  <c r="DA95" i="14" s="1"/>
  <c r="V103" i="14"/>
  <c r="X96" i="14"/>
  <c r="BB103" i="14"/>
  <c r="BE103" i="14" s="1"/>
  <c r="BR96" i="14"/>
  <c r="BT96" i="14" s="1"/>
  <c r="BD96" i="14"/>
  <c r="CX103" i="14"/>
  <c r="CZ103" i="14" s="1"/>
  <c r="DT97" i="14"/>
  <c r="M101" i="14"/>
  <c r="BU101" i="14"/>
  <c r="BY103" i="14"/>
  <c r="CM103" i="14"/>
  <c r="CO103" i="14" s="1"/>
  <c r="CW103" i="14"/>
  <c r="F109" i="14"/>
  <c r="H109" i="14" s="1"/>
  <c r="H106" i="14"/>
  <c r="BC109" i="14"/>
  <c r="BW109" i="14"/>
  <c r="BY109" i="14" s="1"/>
  <c r="BY106" i="14"/>
  <c r="D107" i="14"/>
  <c r="BR107" i="14"/>
  <c r="BD107" i="14"/>
  <c r="BS107" i="14"/>
  <c r="BU107" i="14" s="1"/>
  <c r="DE109" i="14"/>
  <c r="DK109" i="14"/>
  <c r="DM109" i="14" s="1"/>
  <c r="DD109" i="14"/>
  <c r="AX83" i="14"/>
  <c r="AX91" i="14"/>
  <c r="BL93" i="14"/>
  <c r="AV95" i="14"/>
  <c r="J103" i="14"/>
  <c r="L103" i="14" s="1"/>
  <c r="Y96" i="14"/>
  <c r="BS96" i="14"/>
  <c r="BE96" i="14"/>
  <c r="CD103" i="14"/>
  <c r="CL96" i="14"/>
  <c r="CN96" i="14" s="1"/>
  <c r="CF96" i="14"/>
  <c r="DB103" i="14"/>
  <c r="AZ97" i="14"/>
  <c r="DL97" i="14"/>
  <c r="L98" i="14"/>
  <c r="X99" i="14"/>
  <c r="CN99" i="14"/>
  <c r="CZ100" i="14"/>
  <c r="AZ101" i="14"/>
  <c r="CN101" i="14"/>
  <c r="DS101" i="14"/>
  <c r="I102" i="14"/>
  <c r="BT102" i="14"/>
  <c r="CZ102" i="14"/>
  <c r="AF103" i="14"/>
  <c r="AV103" i="14"/>
  <c r="BP103" i="14"/>
  <c r="DK103" i="14"/>
  <c r="DM103" i="14" s="1"/>
  <c r="DP103" i="14"/>
  <c r="B109" i="14"/>
  <c r="D106" i="14"/>
  <c r="CN106" i="14"/>
  <c r="BA107" i="14"/>
  <c r="I109" i="14"/>
  <c r="DQ109" i="14"/>
  <c r="DP109" i="14"/>
  <c r="CX96" i="14"/>
  <c r="CZ96" i="14" s="1"/>
  <c r="DS106" i="14"/>
  <c r="AX109" i="14"/>
  <c r="AZ109" i="14" s="1"/>
  <c r="DS107" i="14"/>
  <c r="DR108" i="14"/>
  <c r="BT108" i="14"/>
  <c r="C109" i="14"/>
  <c r="CY109" i="14"/>
  <c r="DA109" i="14" s="1"/>
  <c r="AZ110" i="14"/>
  <c r="CN110" i="14"/>
  <c r="R109" i="14"/>
  <c r="T109" i="14" s="1"/>
  <c r="CD109" i="14"/>
  <c r="CT109" i="14"/>
  <c r="CV109" i="14" s="1"/>
  <c r="L107" i="14"/>
  <c r="CJ109" i="14"/>
  <c r="DS110" i="14"/>
  <c r="DU110" i="14" s="1"/>
  <c r="BA110" i="14"/>
  <c r="E35" i="3"/>
  <c r="G12" i="3"/>
  <c r="N18" i="3"/>
  <c r="G21" i="3"/>
  <c r="E35" i="17"/>
  <c r="E7" i="17" s="1"/>
  <c r="B110" i="3" l="1"/>
  <c r="B112" i="3" s="1"/>
  <c r="G35" i="3"/>
  <c r="D103" i="14"/>
  <c r="E103" i="14"/>
  <c r="DL99" i="14"/>
  <c r="DR99" i="14"/>
  <c r="DT99" i="14" s="1"/>
  <c r="DT87" i="14"/>
  <c r="DU87" i="14"/>
  <c r="E109" i="14"/>
  <c r="DR106" i="14"/>
  <c r="DT106" i="14" s="1"/>
  <c r="DJ103" i="14"/>
  <c r="DL103" i="14" s="1"/>
  <c r="DD103" i="14"/>
  <c r="D82" i="14"/>
  <c r="L109" i="14"/>
  <c r="M109" i="14"/>
  <c r="BT100" i="14"/>
  <c r="DR100" i="14"/>
  <c r="DT100" i="14" s="1"/>
  <c r="DU71" i="14"/>
  <c r="BE67" i="14"/>
  <c r="BS67" i="14"/>
  <c r="CZ46" i="14"/>
  <c r="DA46" i="14"/>
  <c r="F68" i="14"/>
  <c r="H59" i="14"/>
  <c r="DP39" i="14"/>
  <c r="DN111" i="14"/>
  <c r="BJ111" i="14"/>
  <c r="BL39" i="14"/>
  <c r="AT111" i="14"/>
  <c r="AV39" i="14"/>
  <c r="AF39" i="14"/>
  <c r="N111" i="14"/>
  <c r="P39" i="14"/>
  <c r="V68" i="14"/>
  <c r="X59" i="14"/>
  <c r="AX59" i="14"/>
  <c r="Y59" i="14"/>
  <c r="CO21" i="14"/>
  <c r="CN21" i="14"/>
  <c r="R68" i="14"/>
  <c r="T68" i="14" s="1"/>
  <c r="T59" i="14"/>
  <c r="DR38" i="14"/>
  <c r="E29" i="14"/>
  <c r="C30" i="14"/>
  <c r="DT90" i="14"/>
  <c r="DU90" i="14"/>
  <c r="BR63" i="14"/>
  <c r="BD63" i="14"/>
  <c r="BB68" i="14"/>
  <c r="CN12" i="14"/>
  <c r="DR12" i="14"/>
  <c r="BQ68" i="14"/>
  <c r="BO111" i="14"/>
  <c r="BQ111" i="14" s="1"/>
  <c r="CZ107" i="14"/>
  <c r="DR107" i="14"/>
  <c r="DT107" i="14" s="1"/>
  <c r="BR109" i="14"/>
  <c r="BD109" i="14"/>
  <c r="AN88" i="14"/>
  <c r="AX88" i="14"/>
  <c r="AZ88" i="14" s="1"/>
  <c r="BU81" i="14"/>
  <c r="BT81" i="14"/>
  <c r="DS81" i="14"/>
  <c r="CW82" i="14"/>
  <c r="CV82" i="14"/>
  <c r="BH39" i="14"/>
  <c r="AB39" i="14"/>
  <c r="AZ80" i="14"/>
  <c r="DR80" i="14"/>
  <c r="DT80" i="14" s="1"/>
  <c r="DH51" i="14"/>
  <c r="DJ51" i="14"/>
  <c r="DL51" i="14" s="1"/>
  <c r="CQ111" i="14"/>
  <c r="CS39" i="14"/>
  <c r="CY39" i="14"/>
  <c r="BE39" i="14"/>
  <c r="BS39" i="14"/>
  <c r="BU39" i="14" s="1"/>
  <c r="W111" i="14"/>
  <c r="Y39" i="14"/>
  <c r="AY39" i="14"/>
  <c r="DJ82" i="14"/>
  <c r="DL82" i="14" s="1"/>
  <c r="DD82" i="14"/>
  <c r="AZ78" i="14"/>
  <c r="DR78" i="14"/>
  <c r="DT78" i="14" s="1"/>
  <c r="BT76" i="14"/>
  <c r="BU76" i="14"/>
  <c r="CL68" i="14"/>
  <c r="CN68" i="14" s="1"/>
  <c r="CF68" i="14"/>
  <c r="P76" i="14"/>
  <c r="DU54" i="14"/>
  <c r="BA35" i="14"/>
  <c r="AZ35" i="14"/>
  <c r="DS35" i="14"/>
  <c r="AJ95" i="14"/>
  <c r="AX95" i="14"/>
  <c r="DS75" i="14"/>
  <c r="DU75" i="14" s="1"/>
  <c r="BA75" i="14"/>
  <c r="AZ75" i="14"/>
  <c r="BR82" i="14"/>
  <c r="BD82" i="14"/>
  <c r="DE68" i="14"/>
  <c r="DK68" i="14"/>
  <c r="DM68" i="14" s="1"/>
  <c r="DC111" i="14"/>
  <c r="CF95" i="14"/>
  <c r="CL95" i="14"/>
  <c r="CN95" i="14" s="1"/>
  <c r="AZ65" i="14"/>
  <c r="DR65" i="14"/>
  <c r="DT65" i="14" s="1"/>
  <c r="BA65" i="14"/>
  <c r="B111" i="14"/>
  <c r="D39" i="14"/>
  <c r="AS29" i="14"/>
  <c r="AQ30" i="14"/>
  <c r="AR30" i="14" s="1"/>
  <c r="AR29" i="14"/>
  <c r="K68" i="14"/>
  <c r="M59" i="14"/>
  <c r="DU52" i="14"/>
  <c r="DT52" i="14"/>
  <c r="DT45" i="14"/>
  <c r="BA21" i="14"/>
  <c r="DS21" i="14"/>
  <c r="DU21" i="14" s="1"/>
  <c r="CN88" i="14"/>
  <c r="CT68" i="14"/>
  <c r="CV59" i="14"/>
  <c r="CI30" i="14"/>
  <c r="CK29" i="14"/>
  <c r="CA30" i="14"/>
  <c r="CC29" i="14"/>
  <c r="DS12" i="14"/>
  <c r="DU12" i="14" s="1"/>
  <c r="B30" i="14"/>
  <c r="DR29" i="14"/>
  <c r="D29" i="14"/>
  <c r="CW30" i="14"/>
  <c r="CB29" i="14"/>
  <c r="H30" i="14"/>
  <c r="DU106" i="14"/>
  <c r="BU96" i="14"/>
  <c r="BT107" i="14"/>
  <c r="AX103" i="14"/>
  <c r="AZ103" i="14" s="1"/>
  <c r="X103" i="14"/>
  <c r="DT110" i="14"/>
  <c r="AZ106" i="14"/>
  <c r="BA106" i="14"/>
  <c r="DT89" i="14"/>
  <c r="BS82" i="14"/>
  <c r="BE82" i="14"/>
  <c r="DR74" i="14"/>
  <c r="DT74" i="14" s="1"/>
  <c r="DM76" i="14"/>
  <c r="DL76" i="14"/>
  <c r="CX109" i="14"/>
  <c r="CZ109" i="14" s="1"/>
  <c r="CR109" i="14"/>
  <c r="DU98" i="14"/>
  <c r="I67" i="14"/>
  <c r="H67" i="14"/>
  <c r="DS67" i="14"/>
  <c r="M51" i="14"/>
  <c r="L51" i="14"/>
  <c r="CL51" i="14"/>
  <c r="CN51" i="14" s="1"/>
  <c r="CF51" i="14"/>
  <c r="CX39" i="14"/>
  <c r="CZ39" i="14" s="1"/>
  <c r="CR39" i="14"/>
  <c r="CB39" i="14"/>
  <c r="BT66" i="14"/>
  <c r="AX67" i="14"/>
  <c r="X67" i="14"/>
  <c r="J68" i="14"/>
  <c r="L68" i="14" s="1"/>
  <c r="L59" i="14"/>
  <c r="BU46" i="14"/>
  <c r="DB111" i="14"/>
  <c r="DJ39" i="14"/>
  <c r="DL39" i="14" s="1"/>
  <c r="DD39" i="14"/>
  <c r="J39" i="14"/>
  <c r="L35" i="14"/>
  <c r="E76" i="14"/>
  <c r="DS76" i="14"/>
  <c r="D76" i="14"/>
  <c r="BR67" i="14"/>
  <c r="BT67" i="14" s="1"/>
  <c r="CX63" i="14"/>
  <c r="CZ63" i="14" s="1"/>
  <c r="AA111" i="14"/>
  <c r="AC111" i="14" s="1"/>
  <c r="BU38" i="14"/>
  <c r="DG30" i="14"/>
  <c r="DI29" i="14"/>
  <c r="DU102" i="14"/>
  <c r="M103" i="14"/>
  <c r="I88" i="14"/>
  <c r="DT62" i="14"/>
  <c r="DT56" i="14"/>
  <c r="CZ54" i="14"/>
  <c r="BN68" i="14"/>
  <c r="BP68" i="14" s="1"/>
  <c r="BP59" i="14"/>
  <c r="AP68" i="14"/>
  <c r="AR68" i="14" s="1"/>
  <c r="AR59" i="14"/>
  <c r="DS51" i="14"/>
  <c r="DU51" i="14" s="1"/>
  <c r="CI111" i="14"/>
  <c r="CK111" i="14" s="1"/>
  <c r="CK39" i="14"/>
  <c r="AU111" i="14"/>
  <c r="AW111" i="14" s="1"/>
  <c r="AW39" i="14"/>
  <c r="O111" i="14"/>
  <c r="Q111" i="14" s="1"/>
  <c r="Q39" i="14"/>
  <c r="M35" i="14"/>
  <c r="AY68" i="14"/>
  <c r="AD68" i="14"/>
  <c r="AF68" i="14" s="1"/>
  <c r="AF59" i="14"/>
  <c r="CC59" i="14"/>
  <c r="CA68" i="14"/>
  <c r="CC68" i="14" s="1"/>
  <c r="CT111" i="14"/>
  <c r="CT112" i="14" s="1"/>
  <c r="CV39" i="14"/>
  <c r="BP39" i="14"/>
  <c r="R111" i="14"/>
  <c r="R112" i="14" s="1"/>
  <c r="T39" i="14"/>
  <c r="CC63" i="14"/>
  <c r="DR60" i="14"/>
  <c r="DT60" i="14" s="1"/>
  <c r="AI111" i="14"/>
  <c r="AK111" i="14" s="1"/>
  <c r="DO30" i="14"/>
  <c r="DQ29" i="14"/>
  <c r="CM29" i="14"/>
  <c r="CO29" i="14" s="1"/>
  <c r="CE30" i="14"/>
  <c r="CG29" i="14"/>
  <c r="AM30" i="14"/>
  <c r="AO29" i="14"/>
  <c r="DL21" i="14"/>
  <c r="G30" i="14"/>
  <c r="I29" i="14"/>
  <c r="AZ21" i="14"/>
  <c r="DT24" i="14"/>
  <c r="DS15" i="14"/>
  <c r="DU15" i="14" s="1"/>
  <c r="DB112" i="14"/>
  <c r="DD30" i="14"/>
  <c r="DJ30" i="14"/>
  <c r="BT12" i="14"/>
  <c r="AH112" i="14"/>
  <c r="AJ30" i="14"/>
  <c r="T30" i="14"/>
  <c r="DT23" i="14"/>
  <c r="U30" i="14"/>
  <c r="CZ51" i="14"/>
  <c r="DT13" i="14"/>
  <c r="CV30" i="14"/>
  <c r="CB30" i="14"/>
  <c r="AN30" i="14"/>
  <c r="DT18" i="14"/>
  <c r="I59" i="14"/>
  <c r="G68" i="14"/>
  <c r="I68" i="14" s="1"/>
  <c r="AU30" i="14"/>
  <c r="AW29" i="14"/>
  <c r="BT26" i="14"/>
  <c r="BJ112" i="14"/>
  <c r="BL30" i="14"/>
  <c r="AZ12" i="14"/>
  <c r="DT108" i="14"/>
  <c r="DR109" i="14"/>
  <c r="D109" i="14"/>
  <c r="AZ91" i="14"/>
  <c r="DR91" i="14"/>
  <c r="DT91" i="14" s="1"/>
  <c r="BE109" i="14"/>
  <c r="BS109" i="14"/>
  <c r="BU109" i="14" s="1"/>
  <c r="DR93" i="14"/>
  <c r="DT93" i="14" s="1"/>
  <c r="AZ93" i="14"/>
  <c r="CX88" i="14"/>
  <c r="CZ88" i="14" s="1"/>
  <c r="CR88" i="14"/>
  <c r="CZ95" i="14"/>
  <c r="DD95" i="14"/>
  <c r="DJ95" i="14"/>
  <c r="DL95" i="14" s="1"/>
  <c r="CO76" i="14"/>
  <c r="CN76" i="14"/>
  <c r="DU84" i="14"/>
  <c r="DJ68" i="14"/>
  <c r="DL68" i="14" s="1"/>
  <c r="DD68" i="14"/>
  <c r="DR86" i="14"/>
  <c r="CL82" i="14"/>
  <c r="CN82" i="14" s="1"/>
  <c r="CF82" i="14"/>
  <c r="DS66" i="14"/>
  <c r="DU64" i="14"/>
  <c r="B68" i="14"/>
  <c r="D59" i="14"/>
  <c r="Z68" i="14"/>
  <c r="AB68" i="14" s="1"/>
  <c r="AB59" i="14"/>
  <c r="DF111" i="14"/>
  <c r="DH111" i="14" s="1"/>
  <c r="DH39" i="14"/>
  <c r="BR39" i="14"/>
  <c r="BB111" i="14"/>
  <c r="BD39" i="14"/>
  <c r="AN39" i="14"/>
  <c r="V111" i="14"/>
  <c r="AX39" i="14"/>
  <c r="AZ39" i="14" s="1"/>
  <c r="X39" i="14"/>
  <c r="F111" i="14"/>
  <c r="F112" i="14" s="1"/>
  <c r="H39" i="14"/>
  <c r="DA103" i="14"/>
  <c r="CG68" i="14"/>
  <c r="CM68" i="14"/>
  <c r="CO68" i="14" s="1"/>
  <c r="AX63" i="14"/>
  <c r="DR35" i="14"/>
  <c r="DT35" i="14" s="1"/>
  <c r="AP111" i="14"/>
  <c r="AR111" i="14" s="1"/>
  <c r="AR39" i="14"/>
  <c r="DU74" i="14"/>
  <c r="BF68" i="14"/>
  <c r="BH68" i="14" s="1"/>
  <c r="BY29" i="14"/>
  <c r="BW30" i="14"/>
  <c r="DR96" i="14"/>
  <c r="DU77" i="14"/>
  <c r="L67" i="14"/>
  <c r="L63" i="14"/>
  <c r="M63" i="14"/>
  <c r="DR58" i="14"/>
  <c r="DT58" i="14" s="1"/>
  <c r="C68" i="14"/>
  <c r="E59" i="14"/>
  <c r="DT49" i="14"/>
  <c r="DT48" i="14"/>
  <c r="BA46" i="14"/>
  <c r="DQ39" i="14"/>
  <c r="DO111" i="14"/>
  <c r="DQ111" i="14" s="1"/>
  <c r="CC39" i="14"/>
  <c r="AM111" i="14"/>
  <c r="AO111" i="14" s="1"/>
  <c r="AO39" i="14"/>
  <c r="I39" i="14"/>
  <c r="H82" i="14"/>
  <c r="DA63" i="14"/>
  <c r="BX63" i="14"/>
  <c r="BY63" i="14"/>
  <c r="E26" i="14"/>
  <c r="DS26" i="14"/>
  <c r="BT91" i="14"/>
  <c r="BU91" i="14"/>
  <c r="DJ88" i="14"/>
  <c r="DL88" i="14" s="1"/>
  <c r="DD88" i="14"/>
  <c r="AX82" i="14"/>
  <c r="AZ82" i="14" s="1"/>
  <c r="X82" i="14"/>
  <c r="DS60" i="14"/>
  <c r="BU60" i="14"/>
  <c r="BU35" i="14"/>
  <c r="DC30" i="14"/>
  <c r="DK29" i="14"/>
  <c r="DM29" i="14" s="1"/>
  <c r="DE29" i="14"/>
  <c r="BQ29" i="14"/>
  <c r="BO30" i="14"/>
  <c r="AE30" i="14"/>
  <c r="AG29" i="14"/>
  <c r="CZ26" i="14"/>
  <c r="D21" i="14"/>
  <c r="DR21" i="14"/>
  <c r="DT70" i="14"/>
  <c r="CZ21" i="14"/>
  <c r="DP30" i="14"/>
  <c r="DL29" i="14"/>
  <c r="CF29" i="14"/>
  <c r="BX30" i="14"/>
  <c r="DU8" i="14"/>
  <c r="H103" i="14"/>
  <c r="DR34" i="14"/>
  <c r="DT34" i="14" s="1"/>
  <c r="V112" i="14"/>
  <c r="AX30" i="14"/>
  <c r="CM39" i="14"/>
  <c r="CO39" i="14" s="1"/>
  <c r="K112" i="14"/>
  <c r="M30" i="14"/>
  <c r="DH30" i="14"/>
  <c r="CH112" i="14"/>
  <c r="BP29" i="14"/>
  <c r="AV29" i="14"/>
  <c r="AF29" i="14"/>
  <c r="N112" i="14"/>
  <c r="AA112" i="14"/>
  <c r="AC30" i="14"/>
  <c r="BS63" i="14"/>
  <c r="BE63" i="14"/>
  <c r="Q29" i="14"/>
  <c r="O30" i="14"/>
  <c r="P30" i="14" s="1"/>
  <c r="CL109" i="14"/>
  <c r="CN109" i="14" s="1"/>
  <c r="CF109" i="14"/>
  <c r="DU107" i="14"/>
  <c r="CL103" i="14"/>
  <c r="CN103" i="14" s="1"/>
  <c r="CF103" i="14"/>
  <c r="AZ83" i="14"/>
  <c r="DR83" i="14"/>
  <c r="DT83" i="14" s="1"/>
  <c r="BR103" i="14"/>
  <c r="BD103" i="14"/>
  <c r="BE95" i="14"/>
  <c r="BS95" i="14"/>
  <c r="BT95" i="14" s="1"/>
  <c r="DA96" i="14"/>
  <c r="CX82" i="14"/>
  <c r="CR82" i="14"/>
  <c r="DU100" i="14"/>
  <c r="DS96" i="14"/>
  <c r="DU96" i="14" s="1"/>
  <c r="DU83" i="14"/>
  <c r="AL76" i="14"/>
  <c r="AN74" i="14"/>
  <c r="BA88" i="14"/>
  <c r="BR88" i="14"/>
  <c r="M82" i="14"/>
  <c r="DT75" i="14"/>
  <c r="DU65" i="14"/>
  <c r="D63" i="14"/>
  <c r="E63" i="14"/>
  <c r="BX109" i="14"/>
  <c r="BU84" i="14"/>
  <c r="DU72" i="14"/>
  <c r="CL63" i="14"/>
  <c r="CN63" i="14" s="1"/>
  <c r="CF63" i="14"/>
  <c r="DT57" i="14"/>
  <c r="BY82" i="14"/>
  <c r="BX82" i="14"/>
  <c r="CS68" i="14"/>
  <c r="DR66" i="14"/>
  <c r="DT66" i="14" s="1"/>
  <c r="BW68" i="14"/>
  <c r="BY59" i="14"/>
  <c r="DR51" i="14"/>
  <c r="D51" i="14"/>
  <c r="CH111" i="14"/>
  <c r="CJ111" i="14" s="1"/>
  <c r="CJ39" i="14"/>
  <c r="BA109" i="14"/>
  <c r="DT79" i="14"/>
  <c r="BZ68" i="14"/>
  <c r="CB59" i="14"/>
  <c r="DR46" i="14"/>
  <c r="DT46" i="14" s="1"/>
  <c r="BE88" i="14"/>
  <c r="BS88" i="14"/>
  <c r="BU88" i="14" s="1"/>
  <c r="CB67" i="14"/>
  <c r="AH68" i="14"/>
  <c r="AJ68" i="14" s="1"/>
  <c r="AJ59" i="14"/>
  <c r="CE111" i="14"/>
  <c r="K111" i="14"/>
  <c r="BI29" i="14"/>
  <c r="BG30" i="14"/>
  <c r="BH30" i="14" s="1"/>
  <c r="DR101" i="14"/>
  <c r="DT101" i="14" s="1"/>
  <c r="DU91" i="14"/>
  <c r="DR81" i="14"/>
  <c r="DT81" i="14" s="1"/>
  <c r="CP68" i="14"/>
  <c r="CP111" i="14" s="1"/>
  <c r="CR59" i="14"/>
  <c r="CX59" i="14"/>
  <c r="CZ59" i="14" s="1"/>
  <c r="BV68" i="14"/>
  <c r="BX68" i="14" s="1"/>
  <c r="BX59" i="14"/>
  <c r="BS59" i="14"/>
  <c r="BU59" i="14" s="1"/>
  <c r="BE59" i="14"/>
  <c r="BC68" i="14"/>
  <c r="Y51" i="14"/>
  <c r="AY51" i="14"/>
  <c r="DG111" i="14"/>
  <c r="DI111" i="14" s="1"/>
  <c r="DI39" i="14"/>
  <c r="BK111" i="14"/>
  <c r="BM111" i="14" s="1"/>
  <c r="BM39" i="14"/>
  <c r="AE111" i="14"/>
  <c r="AG111" i="14" s="1"/>
  <c r="AG39" i="14"/>
  <c r="DS38" i="14"/>
  <c r="DU38" i="14" s="1"/>
  <c r="AZ8" i="14"/>
  <c r="DR8" i="14"/>
  <c r="DT8" i="14" s="1"/>
  <c r="DS61" i="14"/>
  <c r="DU61" i="14" s="1"/>
  <c r="CU68" i="14"/>
  <c r="CW59" i="14"/>
  <c r="I51" i="14"/>
  <c r="CD111" i="14"/>
  <c r="CL39" i="14"/>
  <c r="CN39" i="14" s="1"/>
  <c r="CF39" i="14"/>
  <c r="AH111" i="14"/>
  <c r="AJ111" i="14" s="1"/>
  <c r="AJ39" i="14"/>
  <c r="BG111" i="14"/>
  <c r="BI111" i="14" s="1"/>
  <c r="S111" i="14"/>
  <c r="U111" i="14" s="1"/>
  <c r="CQ30" i="14"/>
  <c r="CS29" i="14"/>
  <c r="CY29" i="14"/>
  <c r="DA29" i="14" s="1"/>
  <c r="BC30" i="14"/>
  <c r="BE29" i="14"/>
  <c r="BS29" i="14"/>
  <c r="BU29" i="14" s="1"/>
  <c r="W30" i="14"/>
  <c r="X30" i="14" s="1"/>
  <c r="AY29" i="14"/>
  <c r="BA29" i="14" s="1"/>
  <c r="Y29" i="14"/>
  <c r="DR26" i="14"/>
  <c r="DT26" i="14" s="1"/>
  <c r="CN26" i="14"/>
  <c r="CZ15" i="14"/>
  <c r="DP29" i="14"/>
  <c r="CR30" i="14"/>
  <c r="CX30" i="14"/>
  <c r="CF30" i="14"/>
  <c r="CL30" i="14"/>
  <c r="AP112" i="14"/>
  <c r="AB30" i="14"/>
  <c r="L30" i="14"/>
  <c r="DT32" i="14"/>
  <c r="BM30" i="14"/>
  <c r="CW63" i="14"/>
  <c r="DU33" i="14"/>
  <c r="BB112" i="14"/>
  <c r="BR30" i="14"/>
  <c r="BD30" i="14"/>
  <c r="AI112" i="14"/>
  <c r="AK30" i="14"/>
  <c r="BU51" i="14"/>
  <c r="BV111" i="14"/>
  <c r="BX39" i="14"/>
  <c r="DH29" i="14"/>
  <c r="CJ29" i="14"/>
  <c r="BP30" i="14"/>
  <c r="AT112" i="14"/>
  <c r="AV30" i="14"/>
  <c r="AF30" i="14"/>
  <c r="H29" i="14"/>
  <c r="E7" i="3"/>
  <c r="I67" i="7"/>
  <c r="B115" i="13"/>
  <c r="R92" i="1"/>
  <c r="R106" i="1" s="1"/>
  <c r="Q92" i="1"/>
  <c r="Q53" i="1"/>
  <c r="Q57" i="1" s="1"/>
  <c r="Q67" i="1" s="1"/>
  <c r="R57" i="1"/>
  <c r="R67" i="1" s="1"/>
  <c r="R26" i="1"/>
  <c r="Q26" i="1"/>
  <c r="B18" i="1"/>
  <c r="B16" i="1"/>
  <c r="B24" i="1"/>
  <c r="P24" i="1" s="1"/>
  <c r="B23" i="1"/>
  <c r="P23" i="1" s="1"/>
  <c r="B22" i="1"/>
  <c r="B21" i="1"/>
  <c r="B19" i="1"/>
  <c r="B25" i="1"/>
  <c r="P25" i="1" s="1"/>
  <c r="B17" i="1"/>
  <c r="B14" i="1"/>
  <c r="B13" i="1"/>
  <c r="B12" i="1"/>
  <c r="B11" i="1"/>
  <c r="B10" i="1"/>
  <c r="B9" i="1"/>
  <c r="B8" i="1"/>
  <c r="B7" i="1"/>
  <c r="B6" i="1"/>
  <c r="G103" i="1"/>
  <c r="G104" i="1"/>
  <c r="O71" i="1"/>
  <c r="O70" i="1"/>
  <c r="O69" i="1"/>
  <c r="N71" i="1"/>
  <c r="N70" i="1"/>
  <c r="N69" i="1"/>
  <c r="M71" i="1"/>
  <c r="M70" i="1"/>
  <c r="M69" i="1"/>
  <c r="L71" i="1"/>
  <c r="L70" i="1"/>
  <c r="L69" i="1"/>
  <c r="K71" i="1"/>
  <c r="K70" i="1"/>
  <c r="K69" i="1"/>
  <c r="J71" i="1"/>
  <c r="J70" i="1"/>
  <c r="J69" i="1"/>
  <c r="I71" i="1"/>
  <c r="I70" i="1"/>
  <c r="I69" i="1"/>
  <c r="H71" i="1"/>
  <c r="H70" i="1"/>
  <c r="H69" i="1"/>
  <c r="G71" i="1"/>
  <c r="G70" i="1"/>
  <c r="G69" i="1"/>
  <c r="F71" i="1"/>
  <c r="F70" i="1"/>
  <c r="F69" i="1"/>
  <c r="D71" i="1"/>
  <c r="D70" i="1"/>
  <c r="D69" i="1"/>
  <c r="C71" i="1"/>
  <c r="C70" i="1"/>
  <c r="C69" i="1"/>
  <c r="G88" i="1"/>
  <c r="G92" i="1" s="1"/>
  <c r="G65" i="1"/>
  <c r="G64" i="1"/>
  <c r="G63" i="1"/>
  <c r="G62" i="1"/>
  <c r="G60" i="1"/>
  <c r="G59" i="1"/>
  <c r="G58" i="1"/>
  <c r="G56" i="1"/>
  <c r="G55" i="1"/>
  <c r="G54" i="1"/>
  <c r="G53" i="1"/>
  <c r="G44" i="1"/>
  <c r="G47" i="1" s="1"/>
  <c r="B82" i="5"/>
  <c r="F104" i="1"/>
  <c r="F103" i="1"/>
  <c r="F102" i="1"/>
  <c r="F98" i="1"/>
  <c r="F97" i="1"/>
  <c r="F96" i="1"/>
  <c r="F94" i="1"/>
  <c r="F93" i="1"/>
  <c r="F91" i="1"/>
  <c r="F90" i="1"/>
  <c r="F89" i="1"/>
  <c r="F88" i="1"/>
  <c r="F85" i="1"/>
  <c r="F84" i="1"/>
  <c r="F83" i="1"/>
  <c r="F82" i="1"/>
  <c r="F81" i="1"/>
  <c r="F79" i="1"/>
  <c r="F78" i="1"/>
  <c r="F77" i="1"/>
  <c r="F76" i="1"/>
  <c r="F75" i="1"/>
  <c r="F74" i="1"/>
  <c r="F73" i="1"/>
  <c r="F65" i="1"/>
  <c r="F64" i="1"/>
  <c r="F63" i="1"/>
  <c r="F62" i="1"/>
  <c r="F60" i="1"/>
  <c r="F59" i="1"/>
  <c r="F58" i="1"/>
  <c r="F56" i="1"/>
  <c r="F55" i="1"/>
  <c r="F54" i="1"/>
  <c r="F53" i="1"/>
  <c r="F50" i="1"/>
  <c r="F49" i="1"/>
  <c r="F46" i="1"/>
  <c r="F45" i="1"/>
  <c r="F44" i="1"/>
  <c r="M73" i="1"/>
  <c r="M58" i="1"/>
  <c r="M62" i="1" s="1"/>
  <c r="O66" i="1"/>
  <c r="N66" i="1"/>
  <c r="L66" i="1"/>
  <c r="K66" i="1"/>
  <c r="J66" i="1"/>
  <c r="I66" i="1"/>
  <c r="H66" i="1"/>
  <c r="E66" i="1"/>
  <c r="B104" i="1"/>
  <c r="B103" i="1"/>
  <c r="B102" i="1"/>
  <c r="B98" i="1"/>
  <c r="B97" i="1"/>
  <c r="B96" i="1"/>
  <c r="B95" i="1"/>
  <c r="B94" i="1"/>
  <c r="B93" i="1"/>
  <c r="B85" i="1"/>
  <c r="B84" i="1"/>
  <c r="B83" i="1"/>
  <c r="B82" i="1"/>
  <c r="B81" i="1"/>
  <c r="U15" i="4"/>
  <c r="U14" i="4"/>
  <c r="D75" i="1" s="1"/>
  <c r="U11" i="4"/>
  <c r="U10" i="4"/>
  <c r="D59" i="1" s="1"/>
  <c r="U8" i="4"/>
  <c r="U13" i="4" s="1"/>
  <c r="D64" i="1" s="1"/>
  <c r="D65" i="1"/>
  <c r="O61" i="1"/>
  <c r="N61" i="1"/>
  <c r="E61" i="1"/>
  <c r="C58" i="1"/>
  <c r="C62" i="1" s="1"/>
  <c r="C66" i="1" s="1"/>
  <c r="O57" i="1"/>
  <c r="N57" i="1"/>
  <c r="E57" i="1"/>
  <c r="O43" i="1"/>
  <c r="N43" i="1"/>
  <c r="M43" i="1"/>
  <c r="L43" i="1"/>
  <c r="K43" i="1"/>
  <c r="J43" i="1"/>
  <c r="I43" i="1"/>
  <c r="H43" i="1"/>
  <c r="G43" i="1"/>
  <c r="E43" i="1"/>
  <c r="D43" i="1"/>
  <c r="O32" i="1"/>
  <c r="M44" i="1"/>
  <c r="M47" i="1" s="1"/>
  <c r="L44" i="1"/>
  <c r="K44" i="1"/>
  <c r="O47" i="1"/>
  <c r="N47" i="1"/>
  <c r="H47" i="1"/>
  <c r="E47" i="1"/>
  <c r="D47" i="1"/>
  <c r="J44" i="1"/>
  <c r="B30" i="1"/>
  <c r="N32" i="1"/>
  <c r="M32" i="1"/>
  <c r="L32" i="1"/>
  <c r="K32" i="1"/>
  <c r="J32" i="1"/>
  <c r="G32" i="1"/>
  <c r="E32" i="1"/>
  <c r="C32" i="1"/>
  <c r="B35" i="1"/>
  <c r="B34" i="1"/>
  <c r="B33" i="1"/>
  <c r="G21" i="1"/>
  <c r="F21" i="1"/>
  <c r="F6" i="1"/>
  <c r="G6" i="1"/>
  <c r="H6" i="1"/>
  <c r="B77" i="1"/>
  <c r="B74" i="1"/>
  <c r="B73" i="1"/>
  <c r="B65" i="1"/>
  <c r="B64" i="1"/>
  <c r="B63" i="1"/>
  <c r="B62" i="1"/>
  <c r="B60" i="1"/>
  <c r="B59" i="1"/>
  <c r="B58" i="1"/>
  <c r="B56" i="1"/>
  <c r="B55" i="1"/>
  <c r="B53" i="1"/>
  <c r="N99" i="1"/>
  <c r="K99" i="1"/>
  <c r="G99" i="1"/>
  <c r="E99" i="1"/>
  <c r="O99" i="1"/>
  <c r="O86" i="1"/>
  <c r="N86" i="1"/>
  <c r="M86" i="1"/>
  <c r="L81" i="1"/>
  <c r="K86" i="1"/>
  <c r="J86" i="1"/>
  <c r="G86" i="1"/>
  <c r="E86" i="1"/>
  <c r="M76" i="1"/>
  <c r="M80" i="1" s="1"/>
  <c r="L76" i="1"/>
  <c r="L80" i="1" s="1"/>
  <c r="E80" i="1"/>
  <c r="G80" i="1"/>
  <c r="J76" i="1"/>
  <c r="J80" i="1" s="1"/>
  <c r="N80" i="1"/>
  <c r="O80" i="1"/>
  <c r="F42" i="1"/>
  <c r="F41" i="1"/>
  <c r="F40" i="1"/>
  <c r="F39" i="1"/>
  <c r="F38" i="1"/>
  <c r="F37" i="1"/>
  <c r="F36" i="1"/>
  <c r="F35" i="1"/>
  <c r="F34" i="1"/>
  <c r="F33" i="1"/>
  <c r="B31" i="1"/>
  <c r="P31" i="1" s="1"/>
  <c r="F30" i="1"/>
  <c r="F32" i="1" s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B27" i="5"/>
  <c r="B61" i="5"/>
  <c r="B65" i="5"/>
  <c r="B70" i="5"/>
  <c r="B71" i="5" s="1"/>
  <c r="B90" i="5"/>
  <c r="B96" i="5"/>
  <c r="B106" i="5"/>
  <c r="B76" i="5"/>
  <c r="C46" i="5"/>
  <c r="C34" i="5"/>
  <c r="B51" i="5"/>
  <c r="B46" i="5"/>
  <c r="B32" i="5"/>
  <c r="B34" i="5" s="1"/>
  <c r="C58" i="5"/>
  <c r="C61" i="5" s="1"/>
  <c r="C68" i="5"/>
  <c r="C62" i="5"/>
  <c r="C67" i="5"/>
  <c r="C64" i="5"/>
  <c r="C65" i="5" s="1"/>
  <c r="C63" i="5"/>
  <c r="E68" i="5"/>
  <c r="F66" i="5"/>
  <c r="F65" i="5"/>
  <c r="F64" i="5"/>
  <c r="F63" i="5"/>
  <c r="F62" i="5"/>
  <c r="F61" i="5"/>
  <c r="F60" i="5"/>
  <c r="F59" i="5"/>
  <c r="C49" i="5"/>
  <c r="C51" i="5" s="1"/>
  <c r="C55" i="5" s="1"/>
  <c r="B84" i="5"/>
  <c r="G102" i="1"/>
  <c r="E92" i="1"/>
  <c r="O92" i="1"/>
  <c r="N92" i="1"/>
  <c r="M92" i="1"/>
  <c r="L92" i="1"/>
  <c r="K92" i="1"/>
  <c r="J92" i="1"/>
  <c r="H92" i="1"/>
  <c r="E99" i="5"/>
  <c r="B99" i="5" s="1"/>
  <c r="B103" i="5" s="1"/>
  <c r="B108" i="5"/>
  <c r="B107" i="5"/>
  <c r="G7" i="1"/>
  <c r="G8" i="1"/>
  <c r="G9" i="1"/>
  <c r="G14" i="1"/>
  <c r="G15" i="1"/>
  <c r="G16" i="1"/>
  <c r="G17" i="1"/>
  <c r="G22" i="1"/>
  <c r="G20" i="1"/>
  <c r="G19" i="1"/>
  <c r="G18" i="1"/>
  <c r="G13" i="1"/>
  <c r="G12" i="1"/>
  <c r="G11" i="1"/>
  <c r="G10" i="1"/>
  <c r="G5" i="1"/>
  <c r="L129" i="13"/>
  <c r="M128" i="13"/>
  <c r="M129" i="13" s="1"/>
  <c r="L128" i="13"/>
  <c r="M124" i="13"/>
  <c r="L124" i="13"/>
  <c r="L123" i="13"/>
  <c r="L122" i="13"/>
  <c r="L121" i="13"/>
  <c r="L119" i="13"/>
  <c r="M118" i="13"/>
  <c r="L115" i="13"/>
  <c r="L114" i="13"/>
  <c r="L112" i="13"/>
  <c r="L118" i="13" s="1"/>
  <c r="M111" i="13"/>
  <c r="L111" i="13"/>
  <c r="M104" i="13"/>
  <c r="L99" i="13"/>
  <c r="L104" i="13" s="1"/>
  <c r="M98" i="13"/>
  <c r="L98" i="13"/>
  <c r="L97" i="13"/>
  <c r="L93" i="13"/>
  <c r="L92" i="13"/>
  <c r="M91" i="13"/>
  <c r="M90" i="13"/>
  <c r="L90" i="13"/>
  <c r="L91" i="13" s="1"/>
  <c r="M84" i="13"/>
  <c r="M83" i="13"/>
  <c r="L83" i="13"/>
  <c r="L84" i="13" s="1"/>
  <c r="M79" i="13"/>
  <c r="M78" i="13"/>
  <c r="L78" i="13"/>
  <c r="L79" i="13" s="1"/>
  <c r="M74" i="13"/>
  <c r="M73" i="13"/>
  <c r="L73" i="13"/>
  <c r="L74" i="13" s="1"/>
  <c r="M69" i="13"/>
  <c r="M68" i="13"/>
  <c r="L66" i="13"/>
  <c r="L65" i="13"/>
  <c r="L68" i="13" s="1"/>
  <c r="M63" i="13"/>
  <c r="L60" i="13"/>
  <c r="L63" i="13" s="1"/>
  <c r="M59" i="13"/>
  <c r="L56" i="13"/>
  <c r="L54" i="13"/>
  <c r="L59" i="13" s="1"/>
  <c r="L50" i="13"/>
  <c r="M48" i="13"/>
  <c r="L48" i="13"/>
  <c r="L44" i="13"/>
  <c r="M43" i="13"/>
  <c r="L43" i="13"/>
  <c r="M35" i="13"/>
  <c r="M52" i="13" s="1"/>
  <c r="M131" i="13" s="1"/>
  <c r="L35" i="13"/>
  <c r="L52" i="13" s="1"/>
  <c r="M26" i="13"/>
  <c r="L26" i="13"/>
  <c r="M21" i="13"/>
  <c r="L21" i="13"/>
  <c r="M12" i="13"/>
  <c r="M29" i="13" s="1"/>
  <c r="M30" i="13" s="1"/>
  <c r="M132" i="13" s="1"/>
  <c r="M133" i="13" s="1"/>
  <c r="L12" i="13"/>
  <c r="L29" i="13" s="1"/>
  <c r="L30" i="13" s="1"/>
  <c r="B69" i="1"/>
  <c r="B70" i="1"/>
  <c r="B71" i="1"/>
  <c r="B89" i="1"/>
  <c r="B90" i="1"/>
  <c r="B91" i="1"/>
  <c r="B108" i="2"/>
  <c r="B107" i="2"/>
  <c r="B106" i="2"/>
  <c r="B54" i="2"/>
  <c r="B35" i="2"/>
  <c r="B98" i="2"/>
  <c r="B50" i="1"/>
  <c r="B49" i="1"/>
  <c r="B48" i="1"/>
  <c r="B45" i="1"/>
  <c r="B42" i="1"/>
  <c r="B41" i="1"/>
  <c r="B40" i="1"/>
  <c r="B39" i="1"/>
  <c r="B38" i="1"/>
  <c r="B37" i="1"/>
  <c r="B36" i="1"/>
  <c r="B58" i="2"/>
  <c r="B78" i="2"/>
  <c r="B32" i="2"/>
  <c r="F66" i="2"/>
  <c r="F65" i="2"/>
  <c r="F64" i="2"/>
  <c r="F63" i="2"/>
  <c r="F62" i="2"/>
  <c r="F61" i="2"/>
  <c r="F60" i="2"/>
  <c r="F59" i="2"/>
  <c r="B62" i="2"/>
  <c r="B68" i="2"/>
  <c r="B67" i="2"/>
  <c r="B64" i="2"/>
  <c r="B63" i="2"/>
  <c r="E68" i="2"/>
  <c r="U12" i="4" l="1"/>
  <c r="D60" i="1" s="1"/>
  <c r="U9" i="4"/>
  <c r="D63" i="1" s="1"/>
  <c r="R113" i="14"/>
  <c r="CR111" i="14"/>
  <c r="CX111" i="14"/>
  <c r="CP112" i="14"/>
  <c r="F113" i="14"/>
  <c r="CT113" i="14"/>
  <c r="CF111" i="14"/>
  <c r="CL111" i="14"/>
  <c r="CZ82" i="14"/>
  <c r="DA82" i="14"/>
  <c r="CH113" i="14"/>
  <c r="DA88" i="14"/>
  <c r="CI112" i="14"/>
  <c r="CJ112" i="14" s="1"/>
  <c r="CK30" i="14"/>
  <c r="DP111" i="14"/>
  <c r="BX111" i="14"/>
  <c r="CD112" i="14"/>
  <c r="CQ112" i="14"/>
  <c r="CY30" i="14"/>
  <c r="DA30" i="14" s="1"/>
  <c r="CS30" i="14"/>
  <c r="BE68" i="14"/>
  <c r="BS68" i="14"/>
  <c r="CB68" i="14"/>
  <c r="BY68" i="14"/>
  <c r="BW111" i="14"/>
  <c r="BY111" i="14" s="1"/>
  <c r="DU78" i="14"/>
  <c r="AC112" i="14"/>
  <c r="AA113" i="14"/>
  <c r="AC113" i="14" s="1"/>
  <c r="BT29" i="14"/>
  <c r="DT21" i="14"/>
  <c r="AE112" i="14"/>
  <c r="AG30" i="14"/>
  <c r="DU60" i="14"/>
  <c r="DT96" i="14"/>
  <c r="AZ63" i="14"/>
  <c r="BA63" i="14"/>
  <c r="X111" i="14"/>
  <c r="BR111" i="14"/>
  <c r="D68" i="14"/>
  <c r="AZ29" i="14"/>
  <c r="DB113" i="14"/>
  <c r="AM112" i="14"/>
  <c r="AO30" i="14"/>
  <c r="BN111" i="14"/>
  <c r="DG112" i="14"/>
  <c r="DI30" i="14"/>
  <c r="DD111" i="14"/>
  <c r="DJ111" i="14"/>
  <c r="BU82" i="14"/>
  <c r="DS82" i="14"/>
  <c r="DU46" i="14"/>
  <c r="DU35" i="14"/>
  <c r="DT15" i="14"/>
  <c r="BA39" i="14"/>
  <c r="CS111" i="14"/>
  <c r="BF111" i="14"/>
  <c r="DU81" i="14"/>
  <c r="DT12" i="14"/>
  <c r="BT63" i="14"/>
  <c r="AZ59" i="14"/>
  <c r="BA59" i="14"/>
  <c r="P111" i="14"/>
  <c r="AV111" i="14"/>
  <c r="BG112" i="14"/>
  <c r="BI30" i="14"/>
  <c r="M112" i="14"/>
  <c r="K113" i="14"/>
  <c r="M113" i="14" s="1"/>
  <c r="BJ113" i="14"/>
  <c r="DS39" i="14"/>
  <c r="AR112" i="14"/>
  <c r="AP113" i="14"/>
  <c r="CZ30" i="14"/>
  <c r="BS30" i="14"/>
  <c r="BU30" i="14" s="1"/>
  <c r="BE30" i="14"/>
  <c r="DT61" i="14"/>
  <c r="BA103" i="14"/>
  <c r="BT103" i="14"/>
  <c r="BU103" i="14"/>
  <c r="DF112" i="14"/>
  <c r="BV112" i="14"/>
  <c r="DN112" i="14"/>
  <c r="BO112" i="14"/>
  <c r="BQ30" i="14"/>
  <c r="DC112" i="14"/>
  <c r="DK30" i="14"/>
  <c r="DM30" i="14" s="1"/>
  <c r="DE30" i="14"/>
  <c r="E68" i="14"/>
  <c r="DS68" i="14"/>
  <c r="C111" i="14"/>
  <c r="BW112" i="14"/>
  <c r="BY30" i="14"/>
  <c r="H111" i="14"/>
  <c r="BT39" i="14"/>
  <c r="DT86" i="14"/>
  <c r="DU86" i="14"/>
  <c r="CZ29" i="14"/>
  <c r="I30" i="14"/>
  <c r="DO112" i="14"/>
  <c r="DQ30" i="14"/>
  <c r="J111" i="14"/>
  <c r="M111" i="14" s="1"/>
  <c r="L39" i="14"/>
  <c r="M39" i="14"/>
  <c r="AZ67" i="14"/>
  <c r="BA67" i="14"/>
  <c r="DR67" i="14"/>
  <c r="DT67" i="14" s="1"/>
  <c r="BZ111" i="14"/>
  <c r="BT59" i="14"/>
  <c r="DR88" i="14"/>
  <c r="CC30" i="14"/>
  <c r="CV68" i="14"/>
  <c r="M68" i="14"/>
  <c r="DA59" i="14"/>
  <c r="BC111" i="14"/>
  <c r="DU80" i="14"/>
  <c r="DS29" i="14"/>
  <c r="DU29" i="14" s="1"/>
  <c r="BU67" i="14"/>
  <c r="DR82" i="14"/>
  <c r="DT82" i="14" s="1"/>
  <c r="DS109" i="14"/>
  <c r="DU109" i="14" s="1"/>
  <c r="AK112" i="14"/>
  <c r="AI113" i="14"/>
  <c r="AK113" i="14" s="1"/>
  <c r="CX68" i="14"/>
  <c r="CZ68" i="14" s="1"/>
  <c r="CR68" i="14"/>
  <c r="DS88" i="14"/>
  <c r="DU88" i="14" s="1"/>
  <c r="O112" i="14"/>
  <c r="Q30" i="14"/>
  <c r="V113" i="14"/>
  <c r="DU26" i="14"/>
  <c r="DT109" i="14"/>
  <c r="AJ112" i="14"/>
  <c r="AH113" i="14"/>
  <c r="AJ113" i="14" s="1"/>
  <c r="AQ112" i="14"/>
  <c r="AS30" i="14"/>
  <c r="C112" i="14"/>
  <c r="DS30" i="14"/>
  <c r="E30" i="14"/>
  <c r="AT113" i="14"/>
  <c r="BB113" i="14"/>
  <c r="BK112" i="14"/>
  <c r="CN30" i="14"/>
  <c r="W112" i="14"/>
  <c r="Y30" i="14"/>
  <c r="AY30" i="14"/>
  <c r="BA30" i="14" s="1"/>
  <c r="CW68" i="14"/>
  <c r="CU111" i="14"/>
  <c r="BA51" i="14"/>
  <c r="AZ51" i="14"/>
  <c r="CG111" i="14"/>
  <c r="CM111" i="14"/>
  <c r="CO111" i="14" s="1"/>
  <c r="DT51" i="14"/>
  <c r="CY68" i="14"/>
  <c r="DR63" i="14"/>
  <c r="DT63" i="14" s="1"/>
  <c r="BT88" i="14"/>
  <c r="AN76" i="14"/>
  <c r="AX76" i="14"/>
  <c r="BU95" i="14"/>
  <c r="DS95" i="14"/>
  <c r="DU101" i="14"/>
  <c r="CN29" i="14"/>
  <c r="BU63" i="14"/>
  <c r="DS63" i="14"/>
  <c r="P112" i="14"/>
  <c r="N113" i="14"/>
  <c r="CJ30" i="14"/>
  <c r="AZ30" i="14"/>
  <c r="G111" i="14"/>
  <c r="I111" i="14" s="1"/>
  <c r="CA111" i="14"/>
  <c r="CC111" i="14" s="1"/>
  <c r="DS59" i="14"/>
  <c r="DU59" i="14" s="1"/>
  <c r="AL111" i="14"/>
  <c r="DR59" i="14"/>
  <c r="DU66" i="14"/>
  <c r="AU112" i="14"/>
  <c r="AW30" i="14"/>
  <c r="S112" i="14"/>
  <c r="DL30" i="14"/>
  <c r="CE112" i="14"/>
  <c r="CM30" i="14"/>
  <c r="CO30" i="14" s="1"/>
  <c r="CG30" i="14"/>
  <c r="T111" i="14"/>
  <c r="CV111" i="14"/>
  <c r="DU67" i="14"/>
  <c r="B112" i="14"/>
  <c r="DR30" i="14"/>
  <c r="DT30" i="14" s="1"/>
  <c r="D30" i="14"/>
  <c r="DR39" i="14"/>
  <c r="DT39" i="14" s="1"/>
  <c r="DE111" i="14"/>
  <c r="DK111" i="14"/>
  <c r="DM111" i="14" s="1"/>
  <c r="BT82" i="14"/>
  <c r="AZ95" i="14"/>
  <c r="DR95" i="14"/>
  <c r="DT95" i="14" s="1"/>
  <c r="AY111" i="14"/>
  <c r="Y111" i="14"/>
  <c r="DA39" i="14"/>
  <c r="Z111" i="14"/>
  <c r="BT109" i="14"/>
  <c r="BR68" i="14"/>
  <c r="BT68" i="14" s="1"/>
  <c r="BD68" i="14"/>
  <c r="DT38" i="14"/>
  <c r="AX68" i="14"/>
  <c r="AZ68" i="14" s="1"/>
  <c r="X68" i="14"/>
  <c r="Y68" i="14"/>
  <c r="AD111" i="14"/>
  <c r="BL111" i="14"/>
  <c r="H68" i="14"/>
  <c r="DR103" i="14"/>
  <c r="B54" i="1"/>
  <c r="R108" i="1"/>
  <c r="Q108" i="1"/>
  <c r="Q106" i="1"/>
  <c r="P93" i="1"/>
  <c r="G105" i="1"/>
  <c r="P55" i="1"/>
  <c r="P60" i="1"/>
  <c r="P7" i="1"/>
  <c r="F61" i="1"/>
  <c r="F105" i="1"/>
  <c r="F72" i="1"/>
  <c r="F86" i="1"/>
  <c r="G72" i="1"/>
  <c r="P84" i="1"/>
  <c r="G61" i="1"/>
  <c r="G66" i="1"/>
  <c r="P81" i="1"/>
  <c r="M61" i="1"/>
  <c r="F43" i="1"/>
  <c r="F47" i="1"/>
  <c r="F92" i="1"/>
  <c r="P71" i="1"/>
  <c r="P56" i="1"/>
  <c r="F80" i="1"/>
  <c r="G57" i="1"/>
  <c r="P64" i="1"/>
  <c r="P70" i="1"/>
  <c r="P69" i="1"/>
  <c r="N51" i="1"/>
  <c r="O51" i="1"/>
  <c r="B57" i="1"/>
  <c r="B61" i="1"/>
  <c r="F57" i="1"/>
  <c r="F66" i="1"/>
  <c r="F95" i="1"/>
  <c r="F99" i="1" s="1"/>
  <c r="G51" i="1"/>
  <c r="B43" i="1"/>
  <c r="B66" i="1"/>
  <c r="E51" i="1"/>
  <c r="P59" i="1"/>
  <c r="D61" i="1"/>
  <c r="P63" i="1"/>
  <c r="C61" i="1"/>
  <c r="D66" i="1"/>
  <c r="P62" i="1"/>
  <c r="M66" i="1"/>
  <c r="P65" i="1"/>
  <c r="B32" i="1"/>
  <c r="G26" i="1"/>
  <c r="F26" i="1"/>
  <c r="P21" i="1"/>
  <c r="P36" i="1"/>
  <c r="L86" i="1"/>
  <c r="B99" i="1"/>
  <c r="B86" i="1"/>
  <c r="C70" i="5"/>
  <c r="C71" i="5" s="1"/>
  <c r="C110" i="5" s="1"/>
  <c r="B109" i="5"/>
  <c r="B55" i="5"/>
  <c r="B105" i="1"/>
  <c r="B72" i="1"/>
  <c r="L69" i="13"/>
  <c r="L131" i="13" s="1"/>
  <c r="L132" i="13" s="1"/>
  <c r="L133" i="13" s="1"/>
  <c r="CG112" i="14" l="1"/>
  <c r="CE113" i="14"/>
  <c r="CM112" i="14"/>
  <c r="CO112" i="14" s="1"/>
  <c r="BA68" i="14"/>
  <c r="BE111" i="14"/>
  <c r="BS111" i="14"/>
  <c r="BU111" i="14" s="1"/>
  <c r="DE112" i="14"/>
  <c r="DC113" i="14"/>
  <c r="DK112" i="14"/>
  <c r="DM112" i="14" s="1"/>
  <c r="AF111" i="14"/>
  <c r="AD112" i="14"/>
  <c r="AB111" i="14"/>
  <c r="Z112" i="14"/>
  <c r="D112" i="14"/>
  <c r="B113" i="14"/>
  <c r="AZ76" i="14"/>
  <c r="DR76" i="14"/>
  <c r="BA76" i="14"/>
  <c r="DA68" i="14"/>
  <c r="BM112" i="14"/>
  <c r="BK113" i="14"/>
  <c r="BM113" i="14" s="1"/>
  <c r="AV113" i="14"/>
  <c r="E112" i="14"/>
  <c r="C113" i="14"/>
  <c r="Q112" i="14"/>
  <c r="O113" i="14"/>
  <c r="Q113" i="14" s="1"/>
  <c r="CA112" i="14"/>
  <c r="CB111" i="14"/>
  <c r="BZ112" i="14"/>
  <c r="DQ112" i="14"/>
  <c r="DO113" i="14"/>
  <c r="DQ113" i="14" s="1"/>
  <c r="DH112" i="14"/>
  <c r="DF113" i="14"/>
  <c r="DH113" i="14" s="1"/>
  <c r="BC112" i="14"/>
  <c r="BT30" i="14"/>
  <c r="BL113" i="14"/>
  <c r="DU82" i="14"/>
  <c r="AO112" i="14"/>
  <c r="AM113" i="14"/>
  <c r="AO113" i="14" s="1"/>
  <c r="BD111" i="14"/>
  <c r="AG112" i="14"/>
  <c r="AE113" i="14"/>
  <c r="AG113" i="14" s="1"/>
  <c r="CN111" i="14"/>
  <c r="AW112" i="14"/>
  <c r="AU113" i="14"/>
  <c r="AW113" i="14" s="1"/>
  <c r="BX112" i="14"/>
  <c r="BV113" i="14"/>
  <c r="BX113" i="14" s="1"/>
  <c r="DD112" i="14"/>
  <c r="DT103" i="14"/>
  <c r="DU103" i="14"/>
  <c r="U112" i="14"/>
  <c r="S113" i="14"/>
  <c r="U113" i="14" s="1"/>
  <c r="DT59" i="14"/>
  <c r="AV112" i="14"/>
  <c r="DT29" i="14"/>
  <c r="BY112" i="14"/>
  <c r="BW113" i="14"/>
  <c r="BY113" i="14" s="1"/>
  <c r="BQ112" i="14"/>
  <c r="BO113" i="14"/>
  <c r="BQ113" i="14" s="1"/>
  <c r="DU39" i="14"/>
  <c r="BL112" i="14"/>
  <c r="BI112" i="14"/>
  <c r="BG113" i="14"/>
  <c r="BI113" i="14" s="1"/>
  <c r="BH111" i="14"/>
  <c r="BF112" i="14"/>
  <c r="DI112" i="14"/>
  <c r="DG113" i="14"/>
  <c r="DI113" i="14" s="1"/>
  <c r="DJ112" i="14"/>
  <c r="DL112" i="14" s="1"/>
  <c r="BU68" i="14"/>
  <c r="CS112" i="14"/>
  <c r="CQ113" i="14"/>
  <c r="T113" i="14"/>
  <c r="BA111" i="14"/>
  <c r="DU30" i="14"/>
  <c r="BT111" i="14"/>
  <c r="AN111" i="14"/>
  <c r="AL112" i="14"/>
  <c r="DU63" i="14"/>
  <c r="DU95" i="14"/>
  <c r="CW111" i="14"/>
  <c r="CU112" i="14"/>
  <c r="Y112" i="14"/>
  <c r="W113" i="14"/>
  <c r="AY112" i="14"/>
  <c r="BA112" i="14" s="1"/>
  <c r="AS112" i="14"/>
  <c r="AQ113" i="14"/>
  <c r="AS113" i="14" s="1"/>
  <c r="X112" i="14"/>
  <c r="DT88" i="14"/>
  <c r="L111" i="14"/>
  <c r="J112" i="14"/>
  <c r="G112" i="14"/>
  <c r="DS111" i="14"/>
  <c r="E111" i="14"/>
  <c r="DP112" i="14"/>
  <c r="DN113" i="14"/>
  <c r="DP113" i="14" s="1"/>
  <c r="AR113" i="14"/>
  <c r="D111" i="14"/>
  <c r="CY111" i="14"/>
  <c r="DA111" i="14" s="1"/>
  <c r="DL111" i="14"/>
  <c r="BP111" i="14"/>
  <c r="BN112" i="14"/>
  <c r="DR68" i="14"/>
  <c r="DT68" i="14" s="1"/>
  <c r="AX111" i="14"/>
  <c r="CF112" i="14"/>
  <c r="CD113" i="14"/>
  <c r="CL112" i="14"/>
  <c r="CN112" i="14" s="1"/>
  <c r="CK112" i="14"/>
  <c r="CI113" i="14"/>
  <c r="CK113" i="14" s="1"/>
  <c r="CR112" i="14"/>
  <c r="CX112" i="14"/>
  <c r="CP113" i="14"/>
  <c r="T112" i="14"/>
  <c r="F67" i="1"/>
  <c r="F51" i="1"/>
  <c r="G67" i="1"/>
  <c r="G106" i="1" s="1"/>
  <c r="B67" i="1"/>
  <c r="B110" i="5"/>
  <c r="BI130" i="13"/>
  <c r="BH130" i="13"/>
  <c r="BC130" i="13"/>
  <c r="BB130" i="13"/>
  <c r="AW130" i="13"/>
  <c r="AV130" i="13"/>
  <c r="AM130" i="13"/>
  <c r="AL130" i="13"/>
  <c r="AC130" i="13"/>
  <c r="AB130" i="13"/>
  <c r="F130" i="13"/>
  <c r="AS129" i="13"/>
  <c r="Y129" i="13"/>
  <c r="K129" i="13"/>
  <c r="G129" i="13"/>
  <c r="BK128" i="13"/>
  <c r="BK129" i="13" s="1"/>
  <c r="BJ128" i="13"/>
  <c r="BJ129" i="13" s="1"/>
  <c r="BG128" i="13"/>
  <c r="BG129" i="13" s="1"/>
  <c r="BF128" i="13"/>
  <c r="BF129" i="13" s="1"/>
  <c r="BE128" i="13"/>
  <c r="BE129" i="13" s="1"/>
  <c r="BD128" i="13"/>
  <c r="BD129" i="13" s="1"/>
  <c r="BH129" i="13" s="1"/>
  <c r="BA128" i="13"/>
  <c r="BA129" i="13" s="1"/>
  <c r="AZ128" i="13"/>
  <c r="AZ129" i="13" s="1"/>
  <c r="AY128" i="13"/>
  <c r="AX128" i="13"/>
  <c r="BB128" i="13" s="1"/>
  <c r="AU128" i="13"/>
  <c r="AU129" i="13" s="1"/>
  <c r="AT128" i="13"/>
  <c r="AT129" i="13" s="1"/>
  <c r="AS128" i="13"/>
  <c r="AR128" i="13"/>
  <c r="AR129" i="13" s="1"/>
  <c r="AV129" i="13" s="1"/>
  <c r="AQ128" i="13"/>
  <c r="AQ129" i="13" s="1"/>
  <c r="AP128" i="13"/>
  <c r="AP129" i="13" s="1"/>
  <c r="AO128" i="13"/>
  <c r="AO129" i="13" s="1"/>
  <c r="AN128" i="13"/>
  <c r="AN129" i="13" s="1"/>
  <c r="AK128" i="13"/>
  <c r="AK129" i="13" s="1"/>
  <c r="AJ128" i="13"/>
  <c r="AJ129" i="13" s="1"/>
  <c r="AI128" i="13"/>
  <c r="AI129" i="13" s="1"/>
  <c r="AH128" i="13"/>
  <c r="AH129" i="13" s="1"/>
  <c r="AG128" i="13"/>
  <c r="AG129" i="13" s="1"/>
  <c r="AF128" i="13"/>
  <c r="AF129" i="13" s="1"/>
  <c r="AE128" i="13"/>
  <c r="AE129" i="13" s="1"/>
  <c r="AD128" i="13"/>
  <c r="AL128" i="13" s="1"/>
  <c r="AA128" i="13"/>
  <c r="AA129" i="13" s="1"/>
  <c r="Z128" i="13"/>
  <c r="Z129" i="13" s="1"/>
  <c r="Y128" i="13"/>
  <c r="X128" i="13"/>
  <c r="X129" i="13" s="1"/>
  <c r="W128" i="13"/>
  <c r="W129" i="13" s="1"/>
  <c r="V128" i="13"/>
  <c r="V129" i="13" s="1"/>
  <c r="U128" i="13"/>
  <c r="U129" i="13" s="1"/>
  <c r="T128" i="13"/>
  <c r="T129" i="13" s="1"/>
  <c r="S128" i="13"/>
  <c r="S129" i="13" s="1"/>
  <c r="R128" i="13"/>
  <c r="R129" i="13" s="1"/>
  <c r="Q128" i="13"/>
  <c r="Q129" i="13" s="1"/>
  <c r="P128" i="13"/>
  <c r="P129" i="13" s="1"/>
  <c r="O128" i="13"/>
  <c r="N128" i="13"/>
  <c r="N129" i="13" s="1"/>
  <c r="K128" i="13"/>
  <c r="J128" i="13"/>
  <c r="J129" i="13" s="1"/>
  <c r="I128" i="13"/>
  <c r="I129" i="13" s="1"/>
  <c r="H128" i="13"/>
  <c r="H129" i="13" s="1"/>
  <c r="G128" i="13"/>
  <c r="F128" i="13"/>
  <c r="F129" i="13" s="1"/>
  <c r="E128" i="13"/>
  <c r="E129" i="13" s="1"/>
  <c r="D128" i="13"/>
  <c r="D129" i="13" s="1"/>
  <c r="C128" i="13"/>
  <c r="C129" i="13" s="1"/>
  <c r="BI127" i="13"/>
  <c r="BH127" i="13"/>
  <c r="BC127" i="13"/>
  <c r="BB127" i="13"/>
  <c r="AW127" i="13"/>
  <c r="AV127" i="13"/>
  <c r="AM127" i="13"/>
  <c r="AL127" i="13"/>
  <c r="AC127" i="13"/>
  <c r="AB127" i="13"/>
  <c r="B127" i="13"/>
  <c r="BI126" i="13"/>
  <c r="BH126" i="13"/>
  <c r="BC126" i="13"/>
  <c r="BB126" i="13"/>
  <c r="AW126" i="13"/>
  <c r="AV126" i="13"/>
  <c r="AM126" i="13"/>
  <c r="AL126" i="13"/>
  <c r="AC126" i="13"/>
  <c r="AB126" i="13"/>
  <c r="BL126" i="13" s="1"/>
  <c r="BI125" i="13"/>
  <c r="BH125" i="13"/>
  <c r="BC125" i="13"/>
  <c r="BB125" i="13"/>
  <c r="AW125" i="13"/>
  <c r="AV125" i="13"/>
  <c r="AM125" i="13"/>
  <c r="AL125" i="13"/>
  <c r="AC125" i="13"/>
  <c r="BM125" i="13" s="1"/>
  <c r="AB125" i="13"/>
  <c r="BK124" i="13"/>
  <c r="BJ124" i="13"/>
  <c r="BG124" i="13"/>
  <c r="BF124" i="13"/>
  <c r="BE124" i="13"/>
  <c r="BD124" i="13"/>
  <c r="BA124" i="13"/>
  <c r="AY124" i="13"/>
  <c r="AU124" i="13"/>
  <c r="AT124" i="13"/>
  <c r="AS124" i="13"/>
  <c r="AW124" i="13" s="1"/>
  <c r="AQ124" i="13"/>
  <c r="AK124" i="13"/>
  <c r="AJ124" i="13"/>
  <c r="AI124" i="13"/>
  <c r="AG124" i="13"/>
  <c r="AF124" i="13"/>
  <c r="AD124" i="13"/>
  <c r="AA124" i="13"/>
  <c r="Y124" i="13"/>
  <c r="X124" i="13"/>
  <c r="W124" i="13"/>
  <c r="U124" i="13"/>
  <c r="S124" i="13"/>
  <c r="R124" i="13"/>
  <c r="Q124" i="13"/>
  <c r="P124" i="13"/>
  <c r="K124" i="13"/>
  <c r="I124" i="13"/>
  <c r="D124" i="13"/>
  <c r="BI123" i="13"/>
  <c r="BH123" i="13"/>
  <c r="BC123" i="13"/>
  <c r="BB123" i="13"/>
  <c r="AZ123" i="13"/>
  <c r="AX123" i="13"/>
  <c r="AW123" i="13"/>
  <c r="AV123" i="13"/>
  <c r="AR123" i="13"/>
  <c r="AP123" i="13"/>
  <c r="AN123" i="13"/>
  <c r="AM123" i="13"/>
  <c r="AE123" i="13"/>
  <c r="AD123" i="13"/>
  <c r="AL123" i="13" s="1"/>
  <c r="AC123" i="13"/>
  <c r="O123" i="13"/>
  <c r="N123" i="13"/>
  <c r="AB123" i="13" s="1"/>
  <c r="J123" i="13"/>
  <c r="G123" i="13"/>
  <c r="F123" i="13"/>
  <c r="E123" i="13"/>
  <c r="D123" i="13"/>
  <c r="C123" i="13"/>
  <c r="BM123" i="13" s="1"/>
  <c r="BO123" i="13" s="1"/>
  <c r="B123" i="13"/>
  <c r="BI122" i="13"/>
  <c r="BH122" i="13"/>
  <c r="BC122" i="13"/>
  <c r="BB122" i="13"/>
  <c r="AZ122" i="13"/>
  <c r="AX122" i="13"/>
  <c r="AW122" i="13"/>
  <c r="AV122" i="13"/>
  <c r="AR122" i="13"/>
  <c r="AP122" i="13"/>
  <c r="AN122" i="13"/>
  <c r="AM122" i="13"/>
  <c r="AE122" i="13"/>
  <c r="AD122" i="13"/>
  <c r="AL122" i="13" s="1"/>
  <c r="AC122" i="13"/>
  <c r="O122" i="13"/>
  <c r="N122" i="13"/>
  <c r="AB122" i="13" s="1"/>
  <c r="J122" i="13"/>
  <c r="H122" i="13"/>
  <c r="H124" i="13" s="1"/>
  <c r="G122" i="13"/>
  <c r="F122" i="13"/>
  <c r="B122" i="13"/>
  <c r="BI121" i="13"/>
  <c r="BH121" i="13"/>
  <c r="BC121" i="13"/>
  <c r="AZ121" i="13"/>
  <c r="AZ124" i="13" s="1"/>
  <c r="AX121" i="13"/>
  <c r="BB121" i="13" s="1"/>
  <c r="AW121" i="13"/>
  <c r="AR121" i="13"/>
  <c r="AR124" i="13" s="1"/>
  <c r="AP121" i="13"/>
  <c r="AP124" i="13" s="1"/>
  <c r="AO121" i="13"/>
  <c r="AO124" i="13" s="1"/>
  <c r="AN121" i="13"/>
  <c r="AH121" i="13"/>
  <c r="AE121" i="13"/>
  <c r="AD121" i="13"/>
  <c r="Z121" i="13"/>
  <c r="Z124" i="13" s="1"/>
  <c r="V121" i="13"/>
  <c r="V124" i="13" s="1"/>
  <c r="T121" i="13"/>
  <c r="O121" i="13"/>
  <c r="N121" i="13"/>
  <c r="N124" i="13" s="1"/>
  <c r="J121" i="13"/>
  <c r="G121" i="13"/>
  <c r="F121" i="13"/>
  <c r="E121" i="13"/>
  <c r="E124" i="13" s="1"/>
  <c r="D121" i="13"/>
  <c r="C121" i="13"/>
  <c r="B121" i="13"/>
  <c r="BJ120" i="13"/>
  <c r="BI120" i="13"/>
  <c r="BH120" i="13"/>
  <c r="BC120" i="13"/>
  <c r="BB120" i="13"/>
  <c r="AW120" i="13"/>
  <c r="AV120" i="13"/>
  <c r="AM120" i="13"/>
  <c r="AL120" i="13"/>
  <c r="AC120" i="13"/>
  <c r="BM120" i="13" s="1"/>
  <c r="AB120" i="13"/>
  <c r="B120" i="13"/>
  <c r="BI119" i="13"/>
  <c r="BD119" i="13"/>
  <c r="BH119" i="13" s="1"/>
  <c r="BC119" i="13"/>
  <c r="BB119" i="13"/>
  <c r="AW119" i="13"/>
  <c r="AV119" i="13"/>
  <c r="AP119" i="13"/>
  <c r="AM119" i="13"/>
  <c r="BM119" i="13" s="1"/>
  <c r="AL119" i="13"/>
  <c r="AC119" i="13"/>
  <c r="AB119" i="13"/>
  <c r="J119" i="13"/>
  <c r="BL119" i="13" s="1"/>
  <c r="BK118" i="13"/>
  <c r="BJ118" i="13"/>
  <c r="BG118" i="13"/>
  <c r="BF118" i="13"/>
  <c r="BE118" i="13"/>
  <c r="BI118" i="13" s="1"/>
  <c r="AY118" i="13"/>
  <c r="AU118" i="13"/>
  <c r="AS118" i="13"/>
  <c r="AQ118" i="13"/>
  <c r="AK118" i="13"/>
  <c r="AJ118" i="13"/>
  <c r="AI118" i="13"/>
  <c r="AG118" i="13"/>
  <c r="AF118" i="13"/>
  <c r="AA118" i="13"/>
  <c r="Z118" i="13"/>
  <c r="Y118" i="13"/>
  <c r="X118" i="13"/>
  <c r="W118" i="13"/>
  <c r="V118" i="13"/>
  <c r="U118" i="13"/>
  <c r="T118" i="13"/>
  <c r="S118" i="13"/>
  <c r="R118" i="13"/>
  <c r="Q118" i="13"/>
  <c r="P118" i="13"/>
  <c r="K118" i="13"/>
  <c r="I118" i="13"/>
  <c r="H118" i="13"/>
  <c r="F118" i="13"/>
  <c r="BI117" i="13"/>
  <c r="BD117" i="13"/>
  <c r="BH117" i="13" s="1"/>
  <c r="BC117" i="13"/>
  <c r="BB117" i="13"/>
  <c r="AW117" i="13"/>
  <c r="AV117" i="13"/>
  <c r="AH117" i="13"/>
  <c r="AE117" i="13"/>
  <c r="AM117" i="13" s="1"/>
  <c r="AB117" i="13"/>
  <c r="O117" i="13"/>
  <c r="AC117" i="13" s="1"/>
  <c r="F117" i="13"/>
  <c r="E117" i="13"/>
  <c r="D117" i="13"/>
  <c r="C117" i="13"/>
  <c r="B117" i="13"/>
  <c r="BI116" i="13"/>
  <c r="BD116" i="13"/>
  <c r="BH116" i="13" s="1"/>
  <c r="BC116" i="13"/>
  <c r="BB116" i="13"/>
  <c r="AZ116" i="13"/>
  <c r="AW116" i="13"/>
  <c r="AV116" i="13"/>
  <c r="AM116" i="13"/>
  <c r="AL116" i="13"/>
  <c r="AE116" i="13"/>
  <c r="AB116" i="13"/>
  <c r="O116" i="13"/>
  <c r="AC116" i="13" s="1"/>
  <c r="G116" i="13"/>
  <c r="C116" i="13"/>
  <c r="B116" i="13"/>
  <c r="BM115" i="13"/>
  <c r="BI115" i="13"/>
  <c r="BD115" i="13"/>
  <c r="BC115" i="13"/>
  <c r="AZ115" i="13"/>
  <c r="AX115" i="13"/>
  <c r="BB115" i="13" s="1"/>
  <c r="AW115" i="13"/>
  <c r="AR115" i="13"/>
  <c r="AV115" i="13" s="1"/>
  <c r="AP115" i="13"/>
  <c r="AN115" i="13"/>
  <c r="AM115" i="13"/>
  <c r="AL115" i="13"/>
  <c r="AD115" i="13"/>
  <c r="AC115" i="13"/>
  <c r="N115" i="13"/>
  <c r="AB115" i="13" s="1"/>
  <c r="J115" i="13"/>
  <c r="F115" i="13"/>
  <c r="BI114" i="13"/>
  <c r="BH114" i="13"/>
  <c r="BC114" i="13"/>
  <c r="BB114" i="13"/>
  <c r="AZ114" i="13"/>
  <c r="AX114" i="13"/>
  <c r="AW114" i="13"/>
  <c r="AV114" i="13"/>
  <c r="AR114" i="13"/>
  <c r="AP114" i="13"/>
  <c r="AN114" i="13"/>
  <c r="AM114" i="13"/>
  <c r="AD114" i="13"/>
  <c r="AL114" i="13" s="1"/>
  <c r="AC114" i="13"/>
  <c r="N114" i="13"/>
  <c r="AB114" i="13" s="1"/>
  <c r="J114" i="13"/>
  <c r="J118" i="13" s="1"/>
  <c r="G114" i="13"/>
  <c r="F114" i="13"/>
  <c r="C114" i="13"/>
  <c r="C118" i="13" s="1"/>
  <c r="B114" i="13"/>
  <c r="BI113" i="13"/>
  <c r="BH113" i="13"/>
  <c r="BC113" i="13"/>
  <c r="BB113" i="13"/>
  <c r="AW113" i="13"/>
  <c r="AV113" i="13"/>
  <c r="AM113" i="13"/>
  <c r="AL113" i="13"/>
  <c r="BL113" i="13" s="1"/>
  <c r="AC113" i="13"/>
  <c r="AB113" i="13"/>
  <c r="G113" i="13"/>
  <c r="BM113" i="13" s="1"/>
  <c r="E113" i="13"/>
  <c r="BI112" i="13"/>
  <c r="BD112" i="13"/>
  <c r="BH112" i="13" s="1"/>
  <c r="BB112" i="13"/>
  <c r="BA112" i="13"/>
  <c r="BA118" i="13" s="1"/>
  <c r="AZ112" i="13"/>
  <c r="AX112" i="13"/>
  <c r="AW112" i="13"/>
  <c r="AT112" i="13"/>
  <c r="AT118" i="13" s="1"/>
  <c r="AR112" i="13"/>
  <c r="AV112" i="13" s="1"/>
  <c r="AP112" i="13"/>
  <c r="AP118" i="13" s="1"/>
  <c r="AO112" i="13"/>
  <c r="AO118" i="13" s="1"/>
  <c r="AN112" i="13"/>
  <c r="AN118" i="13" s="1"/>
  <c r="AL112" i="13"/>
  <c r="AE112" i="13"/>
  <c r="AD112" i="13"/>
  <c r="O112" i="13"/>
  <c r="N112" i="13"/>
  <c r="AB112" i="13" s="1"/>
  <c r="J112" i="13"/>
  <c r="G112" i="13"/>
  <c r="F112" i="13"/>
  <c r="E112" i="13"/>
  <c r="D112" i="13"/>
  <c r="D118" i="13" s="1"/>
  <c r="B112" i="13"/>
  <c r="BK111" i="13"/>
  <c r="BJ111" i="13"/>
  <c r="BG111" i="13"/>
  <c r="BE111" i="13"/>
  <c r="BI111" i="13" s="1"/>
  <c r="BA111" i="13"/>
  <c r="AY111" i="13"/>
  <c r="AX111" i="13"/>
  <c r="AU111" i="13"/>
  <c r="AT111" i="13"/>
  <c r="AS111" i="13"/>
  <c r="AQ111" i="13"/>
  <c r="AO111" i="13"/>
  <c r="AK111" i="13"/>
  <c r="AJ111" i="13"/>
  <c r="AI111" i="13"/>
  <c r="AG111" i="13"/>
  <c r="AF111" i="13"/>
  <c r="AD111" i="13"/>
  <c r="AA111" i="13"/>
  <c r="Z111" i="13"/>
  <c r="Y111" i="13"/>
  <c r="X111" i="13"/>
  <c r="W111" i="13"/>
  <c r="V111" i="13"/>
  <c r="U111" i="13"/>
  <c r="S111" i="13"/>
  <c r="R111" i="13"/>
  <c r="Q111" i="13"/>
  <c r="P111" i="13"/>
  <c r="O111" i="13"/>
  <c r="N111" i="13"/>
  <c r="K111" i="13"/>
  <c r="J111" i="13"/>
  <c r="I111" i="13"/>
  <c r="H111" i="13"/>
  <c r="G111" i="13"/>
  <c r="F111" i="13"/>
  <c r="D111" i="13"/>
  <c r="BI110" i="13"/>
  <c r="BH110" i="13"/>
  <c r="BC110" i="13"/>
  <c r="BB110" i="13"/>
  <c r="AW110" i="13"/>
  <c r="AV110" i="13"/>
  <c r="AM110" i="13"/>
  <c r="AL110" i="13"/>
  <c r="BL110" i="13" s="1"/>
  <c r="AC110" i="13"/>
  <c r="BM110" i="13" s="1"/>
  <c r="AB110" i="13"/>
  <c r="D110" i="13"/>
  <c r="BM109" i="13"/>
  <c r="BI109" i="13"/>
  <c r="BH109" i="13"/>
  <c r="BC109" i="13"/>
  <c r="BB109" i="13"/>
  <c r="AW109" i="13"/>
  <c r="AV109" i="13"/>
  <c r="AM109" i="13"/>
  <c r="AL109" i="13"/>
  <c r="AH109" i="13"/>
  <c r="AC109" i="13"/>
  <c r="T109" i="13"/>
  <c r="AB109" i="13" s="1"/>
  <c r="B109" i="13"/>
  <c r="B111" i="13" s="1"/>
  <c r="BI108" i="13"/>
  <c r="BH108" i="13"/>
  <c r="BC108" i="13"/>
  <c r="BB108" i="13"/>
  <c r="AW108" i="13"/>
  <c r="AV108" i="13"/>
  <c r="AM108" i="13"/>
  <c r="AL108" i="13"/>
  <c r="BL108" i="13" s="1"/>
  <c r="AC108" i="13"/>
  <c r="AB108" i="13"/>
  <c r="E108" i="13"/>
  <c r="BM108" i="13" s="1"/>
  <c r="BI107" i="13"/>
  <c r="BF107" i="13"/>
  <c r="BF111" i="13" s="1"/>
  <c r="BD107" i="13"/>
  <c r="BD111" i="13" s="1"/>
  <c r="BC107" i="13"/>
  <c r="AZ107" i="13"/>
  <c r="AW107" i="13"/>
  <c r="AT107" i="13"/>
  <c r="AR107" i="13"/>
  <c r="AH107" i="13"/>
  <c r="AL107" i="13" s="1"/>
  <c r="AE107" i="13"/>
  <c r="AM107" i="13" s="1"/>
  <c r="AC107" i="13"/>
  <c r="T107" i="13"/>
  <c r="T111" i="13" s="1"/>
  <c r="E107" i="13"/>
  <c r="E111" i="13" s="1"/>
  <c r="C107" i="13"/>
  <c r="C111" i="13" s="1"/>
  <c r="BI106" i="13"/>
  <c r="BH106" i="13"/>
  <c r="BC106" i="13"/>
  <c r="BB106" i="13"/>
  <c r="AW106" i="13"/>
  <c r="AV106" i="13"/>
  <c r="AP106" i="13"/>
  <c r="AP111" i="13" s="1"/>
  <c r="AN106" i="13"/>
  <c r="AN111" i="13" s="1"/>
  <c r="AL106" i="13"/>
  <c r="AE106" i="13"/>
  <c r="AM106" i="13" s="1"/>
  <c r="AC106" i="13"/>
  <c r="AB106" i="13"/>
  <c r="D106" i="13"/>
  <c r="BI105" i="13"/>
  <c r="BH105" i="13"/>
  <c r="BC105" i="13"/>
  <c r="BB105" i="13"/>
  <c r="AW105" i="13"/>
  <c r="AV105" i="13"/>
  <c r="AM105" i="13"/>
  <c r="AL105" i="13"/>
  <c r="AC105" i="13"/>
  <c r="BM105" i="13" s="1"/>
  <c r="AB105" i="13"/>
  <c r="BK104" i="13"/>
  <c r="BJ104" i="13"/>
  <c r="BG104" i="13"/>
  <c r="BF104" i="13"/>
  <c r="BE104" i="13"/>
  <c r="AY104" i="13"/>
  <c r="AU104" i="13"/>
  <c r="AS104" i="13"/>
  <c r="AQ104" i="13"/>
  <c r="AO104" i="13"/>
  <c r="AK104" i="13"/>
  <c r="AJ104" i="13"/>
  <c r="AI104" i="13"/>
  <c r="AG104" i="13"/>
  <c r="AF104" i="13"/>
  <c r="AA104" i="13"/>
  <c r="Y104" i="13"/>
  <c r="X104" i="13"/>
  <c r="W104" i="13"/>
  <c r="U104" i="13"/>
  <c r="T104" i="13"/>
  <c r="S104" i="13"/>
  <c r="R104" i="13"/>
  <c r="Q104" i="13"/>
  <c r="P104" i="13"/>
  <c r="O104" i="13"/>
  <c r="K104" i="13"/>
  <c r="I104" i="13"/>
  <c r="H104" i="13"/>
  <c r="BI103" i="13"/>
  <c r="BD103" i="13"/>
  <c r="BH103" i="13" s="1"/>
  <c r="BC103" i="13"/>
  <c r="AZ103" i="13"/>
  <c r="AX103" i="13"/>
  <c r="AW103" i="13"/>
  <c r="AV103" i="13"/>
  <c r="AM103" i="13"/>
  <c r="BM103" i="13" s="1"/>
  <c r="AH103" i="13"/>
  <c r="AC103" i="13"/>
  <c r="V103" i="13"/>
  <c r="N103" i="13"/>
  <c r="F103" i="13"/>
  <c r="E103" i="13"/>
  <c r="D103" i="13"/>
  <c r="BI102" i="13"/>
  <c r="BD102" i="13"/>
  <c r="BH102" i="13" s="1"/>
  <c r="BC102" i="13"/>
  <c r="AX102" i="13"/>
  <c r="BB102" i="13" s="1"/>
  <c r="AW102" i="13"/>
  <c r="AV102" i="13"/>
  <c r="AM102" i="13"/>
  <c r="AL102" i="13"/>
  <c r="AC102" i="13"/>
  <c r="AB102" i="13"/>
  <c r="C102" i="13"/>
  <c r="C104" i="13" s="1"/>
  <c r="BI101" i="13"/>
  <c r="BH101" i="13"/>
  <c r="BC101" i="13"/>
  <c r="BB101" i="13"/>
  <c r="AW101" i="13"/>
  <c r="AV101" i="13"/>
  <c r="AM101" i="13"/>
  <c r="AH101" i="13"/>
  <c r="AL101" i="13" s="1"/>
  <c r="AC101" i="13"/>
  <c r="AB101" i="13"/>
  <c r="BL101" i="13" s="1"/>
  <c r="V101" i="13"/>
  <c r="BI100" i="13"/>
  <c r="BD100" i="13"/>
  <c r="BH100" i="13" s="1"/>
  <c r="BC100" i="13"/>
  <c r="AZ100" i="13"/>
  <c r="AW100" i="13"/>
  <c r="AT100" i="13"/>
  <c r="AP100" i="13"/>
  <c r="AN100" i="13"/>
  <c r="AL100" i="13"/>
  <c r="AE100" i="13"/>
  <c r="AM100" i="13" s="1"/>
  <c r="AD100" i="13"/>
  <c r="AC100" i="13"/>
  <c r="AB100" i="13"/>
  <c r="N100" i="13"/>
  <c r="F100" i="13"/>
  <c r="D100" i="13"/>
  <c r="B100" i="13"/>
  <c r="BI99" i="13"/>
  <c r="BH99" i="13"/>
  <c r="BC99" i="13"/>
  <c r="BA99" i="13"/>
  <c r="BA104" i="13" s="1"/>
  <c r="AX99" i="13"/>
  <c r="AW99" i="13"/>
  <c r="AV99" i="13"/>
  <c r="AR99" i="13"/>
  <c r="AR104" i="13" s="1"/>
  <c r="AP99" i="13"/>
  <c r="AN99" i="13"/>
  <c r="AE99" i="13"/>
  <c r="AM99" i="13" s="1"/>
  <c r="AD99" i="13"/>
  <c r="AD104" i="13" s="1"/>
  <c r="AC99" i="13"/>
  <c r="Z99" i="13"/>
  <c r="Z104" i="13" s="1"/>
  <c r="V99" i="13"/>
  <c r="V104" i="13" s="1"/>
  <c r="N99" i="13"/>
  <c r="J99" i="13"/>
  <c r="J104" i="13" s="1"/>
  <c r="G99" i="13"/>
  <c r="F99" i="13"/>
  <c r="F104" i="13" s="1"/>
  <c r="E99" i="13"/>
  <c r="E104" i="13" s="1"/>
  <c r="D99" i="13"/>
  <c r="B99" i="13"/>
  <c r="BK98" i="13"/>
  <c r="BJ98" i="13"/>
  <c r="BG98" i="13"/>
  <c r="BF98" i="13"/>
  <c r="BE98" i="13"/>
  <c r="BI98" i="13" s="1"/>
  <c r="AY98" i="13"/>
  <c r="AU98" i="13"/>
  <c r="AT98" i="13"/>
  <c r="AS98" i="13"/>
  <c r="AW98" i="13" s="1"/>
  <c r="AQ98" i="13"/>
  <c r="AO98" i="13"/>
  <c r="AK98" i="13"/>
  <c r="AJ98" i="13"/>
  <c r="AI98" i="13"/>
  <c r="AH98" i="13"/>
  <c r="AG98" i="13"/>
  <c r="AF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K98" i="13"/>
  <c r="I98" i="13"/>
  <c r="C98" i="13"/>
  <c r="BI97" i="13"/>
  <c r="BD97" i="13"/>
  <c r="BH97" i="13" s="1"/>
  <c r="BC97" i="13"/>
  <c r="AZ97" i="13"/>
  <c r="BB97" i="13" s="1"/>
  <c r="AX97" i="13"/>
  <c r="AW97" i="13"/>
  <c r="AR97" i="13"/>
  <c r="AR98" i="13" s="1"/>
  <c r="AV98" i="13" s="1"/>
  <c r="AP97" i="13"/>
  <c r="AN97" i="13"/>
  <c r="AM97" i="13"/>
  <c r="AH97" i="13"/>
  <c r="AE97" i="13"/>
  <c r="AE98" i="13" s="1"/>
  <c r="AD97" i="13"/>
  <c r="AC97" i="13"/>
  <c r="N97" i="13"/>
  <c r="J97" i="13"/>
  <c r="J98" i="13" s="1"/>
  <c r="H97" i="13"/>
  <c r="H98" i="13" s="1"/>
  <c r="G97" i="13"/>
  <c r="F97" i="13"/>
  <c r="D97" i="13"/>
  <c r="B97" i="13"/>
  <c r="BI96" i="13"/>
  <c r="BH96" i="13"/>
  <c r="BD96" i="13"/>
  <c r="BD98" i="13" s="1"/>
  <c r="BB96" i="13"/>
  <c r="BA96" i="13"/>
  <c r="BC96" i="13" s="1"/>
  <c r="AZ96" i="13"/>
  <c r="AW96" i="13"/>
  <c r="AV96" i="13"/>
  <c r="AP96" i="13"/>
  <c r="AP98" i="13" s="1"/>
  <c r="AM96" i="13"/>
  <c r="AL96" i="13"/>
  <c r="AC96" i="13"/>
  <c r="AB96" i="13"/>
  <c r="N96" i="13"/>
  <c r="G96" i="13"/>
  <c r="E96" i="13"/>
  <c r="D96" i="13"/>
  <c r="B96" i="13"/>
  <c r="BI95" i="13"/>
  <c r="BH95" i="13"/>
  <c r="BC95" i="13"/>
  <c r="BB95" i="13"/>
  <c r="AW95" i="13"/>
  <c r="AV95" i="13"/>
  <c r="AM95" i="13"/>
  <c r="BM95" i="13" s="1"/>
  <c r="AL95" i="13"/>
  <c r="AC95" i="13"/>
  <c r="AB95" i="13"/>
  <c r="B95" i="13"/>
  <c r="B98" i="13" s="1"/>
  <c r="BI94" i="13"/>
  <c r="BH94" i="13"/>
  <c r="BC94" i="13"/>
  <c r="AZ94" i="13"/>
  <c r="AX94" i="13"/>
  <c r="BB94" i="13" s="1"/>
  <c r="AW94" i="13"/>
  <c r="AV94" i="13"/>
  <c r="AO94" i="13"/>
  <c r="AN94" i="13"/>
  <c r="AM94" i="13"/>
  <c r="AL94" i="13"/>
  <c r="AC94" i="13"/>
  <c r="AB94" i="13"/>
  <c r="F94" i="13"/>
  <c r="BI93" i="13"/>
  <c r="BH93" i="13"/>
  <c r="BC93" i="13"/>
  <c r="BB93" i="13"/>
  <c r="AW93" i="13"/>
  <c r="AV93" i="13"/>
  <c r="AP93" i="13"/>
  <c r="AN93" i="13"/>
  <c r="AM93" i="13"/>
  <c r="AH93" i="13"/>
  <c r="AD93" i="13"/>
  <c r="AL93" i="13" s="1"/>
  <c r="AC93" i="13"/>
  <c r="AB93" i="13"/>
  <c r="J93" i="13"/>
  <c r="F93" i="13"/>
  <c r="C93" i="13"/>
  <c r="BM93" i="13" s="1"/>
  <c r="B93" i="13"/>
  <c r="BI92" i="13"/>
  <c r="BH92" i="13"/>
  <c r="BC92" i="13"/>
  <c r="AZ92" i="13"/>
  <c r="AX92" i="13"/>
  <c r="AW92" i="13"/>
  <c r="AT92" i="13"/>
  <c r="AR92" i="13"/>
  <c r="AP92" i="13"/>
  <c r="AN92" i="13"/>
  <c r="AM92" i="13"/>
  <c r="AH92" i="13"/>
  <c r="AD92" i="13"/>
  <c r="AL92" i="13" s="1"/>
  <c r="AC92" i="13"/>
  <c r="N92" i="13"/>
  <c r="AB92" i="13" s="1"/>
  <c r="J92" i="13"/>
  <c r="F92" i="13"/>
  <c r="E92" i="13"/>
  <c r="B92" i="13"/>
  <c r="BK91" i="13"/>
  <c r="AZ91" i="13"/>
  <c r="AD91" i="13"/>
  <c r="AA91" i="13"/>
  <c r="S91" i="13"/>
  <c r="I91" i="13"/>
  <c r="E91" i="13"/>
  <c r="BK90" i="13"/>
  <c r="BJ90" i="13"/>
  <c r="BJ91" i="13" s="1"/>
  <c r="BG90" i="13"/>
  <c r="BG91" i="13" s="1"/>
  <c r="BF90" i="13"/>
  <c r="BF91" i="13" s="1"/>
  <c r="BE90" i="13"/>
  <c r="BE91" i="13" s="1"/>
  <c r="BD90" i="13"/>
  <c r="BD91" i="13" s="1"/>
  <c r="BH91" i="13" s="1"/>
  <c r="BA90" i="13"/>
  <c r="BA91" i="13" s="1"/>
  <c r="AZ90" i="13"/>
  <c r="AY90" i="13"/>
  <c r="AY91" i="13" s="1"/>
  <c r="AX90" i="13"/>
  <c r="AX91" i="13" s="1"/>
  <c r="AU90" i="13"/>
  <c r="AU91" i="13" s="1"/>
  <c r="AT90" i="13"/>
  <c r="AT91" i="13" s="1"/>
  <c r="AS90" i="13"/>
  <c r="AS91" i="13" s="1"/>
  <c r="AR90" i="13"/>
  <c r="AR91" i="13" s="1"/>
  <c r="AV91" i="13" s="1"/>
  <c r="AQ90" i="13"/>
  <c r="AQ91" i="13" s="1"/>
  <c r="AP90" i="13"/>
  <c r="AP91" i="13" s="1"/>
  <c r="AO90" i="13"/>
  <c r="AO91" i="13" s="1"/>
  <c r="AN90" i="13"/>
  <c r="AN91" i="13" s="1"/>
  <c r="AK90" i="13"/>
  <c r="AK91" i="13" s="1"/>
  <c r="AJ90" i="13"/>
  <c r="AJ91" i="13" s="1"/>
  <c r="AI90" i="13"/>
  <c r="AI91" i="13" s="1"/>
  <c r="AH90" i="13"/>
  <c r="AH91" i="13" s="1"/>
  <c r="AG90" i="13"/>
  <c r="AG91" i="13" s="1"/>
  <c r="AF90" i="13"/>
  <c r="AF91" i="13" s="1"/>
  <c r="AE90" i="13"/>
  <c r="AD90" i="13"/>
  <c r="AA90" i="13"/>
  <c r="Z90" i="13"/>
  <c r="Z91" i="13" s="1"/>
  <c r="Y90" i="13"/>
  <c r="Y91" i="13" s="1"/>
  <c r="X90" i="13"/>
  <c r="X91" i="13" s="1"/>
  <c r="W90" i="13"/>
  <c r="W91" i="13" s="1"/>
  <c r="U90" i="13"/>
  <c r="U91" i="13" s="1"/>
  <c r="T90" i="13"/>
  <c r="T91" i="13" s="1"/>
  <c r="S90" i="13"/>
  <c r="R90" i="13"/>
  <c r="R91" i="13" s="1"/>
  <c r="Q90" i="13"/>
  <c r="Q91" i="13" s="1"/>
  <c r="P90" i="13"/>
  <c r="P91" i="13" s="1"/>
  <c r="O90" i="13"/>
  <c r="O91" i="13" s="1"/>
  <c r="N90" i="13"/>
  <c r="N91" i="13" s="1"/>
  <c r="K90" i="13"/>
  <c r="K91" i="13" s="1"/>
  <c r="J90" i="13"/>
  <c r="J91" i="13" s="1"/>
  <c r="I90" i="13"/>
  <c r="G90" i="13"/>
  <c r="G91" i="13" s="1"/>
  <c r="F90" i="13"/>
  <c r="F91" i="13" s="1"/>
  <c r="E90" i="13"/>
  <c r="D90" i="13"/>
  <c r="D91" i="13" s="1"/>
  <c r="B90" i="13"/>
  <c r="BI89" i="13"/>
  <c r="BH89" i="13"/>
  <c r="BC89" i="13"/>
  <c r="BB89" i="13"/>
  <c r="AW89" i="13"/>
  <c r="AV89" i="13"/>
  <c r="AM89" i="13"/>
  <c r="AL89" i="13"/>
  <c r="AC89" i="13"/>
  <c r="AB89" i="13"/>
  <c r="H89" i="13"/>
  <c r="BI88" i="13"/>
  <c r="BH88" i="13"/>
  <c r="BC88" i="13"/>
  <c r="BB88" i="13"/>
  <c r="AW88" i="13"/>
  <c r="AV88" i="13"/>
  <c r="AM88" i="13"/>
  <c r="AL88" i="13"/>
  <c r="AC88" i="13"/>
  <c r="V88" i="13"/>
  <c r="AB88" i="13" s="1"/>
  <c r="H88" i="13"/>
  <c r="C88" i="13"/>
  <c r="BI87" i="13"/>
  <c r="BH87" i="13"/>
  <c r="BC87" i="13"/>
  <c r="BB87" i="13"/>
  <c r="AW87" i="13"/>
  <c r="AV87" i="13"/>
  <c r="AM87" i="13"/>
  <c r="AL87" i="13"/>
  <c r="AC87" i="13"/>
  <c r="AB87" i="13"/>
  <c r="H87" i="13"/>
  <c r="C87" i="13"/>
  <c r="BI86" i="13"/>
  <c r="BH86" i="13"/>
  <c r="BC86" i="13"/>
  <c r="BB86" i="13"/>
  <c r="AW86" i="13"/>
  <c r="AV86" i="13"/>
  <c r="AM86" i="13"/>
  <c r="AL86" i="13"/>
  <c r="BL86" i="13" s="1"/>
  <c r="AC86" i="13"/>
  <c r="AB86" i="13"/>
  <c r="H86" i="13"/>
  <c r="C86" i="13"/>
  <c r="BI85" i="13"/>
  <c r="BH85" i="13"/>
  <c r="BC85" i="13"/>
  <c r="BB85" i="13"/>
  <c r="AW85" i="13"/>
  <c r="AV85" i="13"/>
  <c r="AM85" i="13"/>
  <c r="AL85" i="13"/>
  <c r="AC85" i="13"/>
  <c r="BM85" i="13" s="1"/>
  <c r="AB85" i="13"/>
  <c r="BJ84" i="13"/>
  <c r="BG84" i="13"/>
  <c r="AX84" i="13"/>
  <c r="AU84" i="13"/>
  <c r="AD84" i="13"/>
  <c r="AA84" i="13"/>
  <c r="S84" i="13"/>
  <c r="N84" i="13"/>
  <c r="I84" i="13"/>
  <c r="BK83" i="13"/>
  <c r="BK84" i="13" s="1"/>
  <c r="BJ83" i="13"/>
  <c r="BG83" i="13"/>
  <c r="BF83" i="13"/>
  <c r="BF84" i="13" s="1"/>
  <c r="BE83" i="13"/>
  <c r="BE84" i="13" s="1"/>
  <c r="BI84" i="13" s="1"/>
  <c r="BD83" i="13"/>
  <c r="BD84" i="13" s="1"/>
  <c r="BA83" i="13"/>
  <c r="BA84" i="13" s="1"/>
  <c r="AZ83" i="13"/>
  <c r="AZ84" i="13" s="1"/>
  <c r="AY83" i="13"/>
  <c r="AX83" i="13"/>
  <c r="AU83" i="13"/>
  <c r="AT83" i="13"/>
  <c r="AT84" i="13" s="1"/>
  <c r="AS83" i="13"/>
  <c r="AS84" i="13" s="1"/>
  <c r="AR83" i="13"/>
  <c r="AR84" i="13" s="1"/>
  <c r="AQ83" i="13"/>
  <c r="AQ84" i="13" s="1"/>
  <c r="AP83" i="13"/>
  <c r="AP84" i="13" s="1"/>
  <c r="AO83" i="13"/>
  <c r="AO84" i="13" s="1"/>
  <c r="AN83" i="13"/>
  <c r="AN84" i="13" s="1"/>
  <c r="AK83" i="13"/>
  <c r="AK84" i="13" s="1"/>
  <c r="AJ83" i="13"/>
  <c r="AJ84" i="13" s="1"/>
  <c r="AI83" i="13"/>
  <c r="AI84" i="13" s="1"/>
  <c r="AH83" i="13"/>
  <c r="AH84" i="13" s="1"/>
  <c r="AG83" i="13"/>
  <c r="AG84" i="13" s="1"/>
  <c r="AF83" i="13"/>
  <c r="AF84" i="13" s="1"/>
  <c r="AE83" i="13"/>
  <c r="AD83" i="13"/>
  <c r="AA83" i="13"/>
  <c r="Z83" i="13"/>
  <c r="Z84" i="13" s="1"/>
  <c r="Y83" i="13"/>
  <c r="Y84" i="13" s="1"/>
  <c r="X83" i="13"/>
  <c r="X84" i="13" s="1"/>
  <c r="W83" i="13"/>
  <c r="W84" i="13" s="1"/>
  <c r="V83" i="13"/>
  <c r="V84" i="13" s="1"/>
  <c r="U83" i="13"/>
  <c r="U84" i="13" s="1"/>
  <c r="T83" i="13"/>
  <c r="T84" i="13" s="1"/>
  <c r="S83" i="13"/>
  <c r="R83" i="13"/>
  <c r="R84" i="13" s="1"/>
  <c r="Q83" i="13"/>
  <c r="P83" i="13"/>
  <c r="P84" i="13" s="1"/>
  <c r="O83" i="13"/>
  <c r="O84" i="13" s="1"/>
  <c r="N83" i="13"/>
  <c r="K83" i="13"/>
  <c r="K84" i="13" s="1"/>
  <c r="J83" i="13"/>
  <c r="J84" i="13" s="1"/>
  <c r="I83" i="13"/>
  <c r="H83" i="13"/>
  <c r="H84" i="13" s="1"/>
  <c r="G83" i="13"/>
  <c r="G84" i="13" s="1"/>
  <c r="F83" i="13"/>
  <c r="F84" i="13" s="1"/>
  <c r="E83" i="13"/>
  <c r="E84" i="13" s="1"/>
  <c r="D83" i="13"/>
  <c r="D84" i="13" s="1"/>
  <c r="C83" i="13"/>
  <c r="BI82" i="13"/>
  <c r="BH82" i="13"/>
  <c r="BC82" i="13"/>
  <c r="BB82" i="13"/>
  <c r="AW82" i="13"/>
  <c r="AV82" i="13"/>
  <c r="AM82" i="13"/>
  <c r="AL82" i="13"/>
  <c r="AC82" i="13"/>
  <c r="AB82" i="13"/>
  <c r="BL82" i="13" s="1"/>
  <c r="B82" i="13"/>
  <c r="B83" i="13" s="1"/>
  <c r="BI81" i="13"/>
  <c r="BH81" i="13"/>
  <c r="BC81" i="13"/>
  <c r="BB81" i="13"/>
  <c r="AW81" i="13"/>
  <c r="AV81" i="13"/>
  <c r="AM81" i="13"/>
  <c r="AL81" i="13"/>
  <c r="BL81" i="13" s="1"/>
  <c r="AC81" i="13"/>
  <c r="AB81" i="13"/>
  <c r="BI80" i="13"/>
  <c r="BH80" i="13"/>
  <c r="BC80" i="13"/>
  <c r="BB80" i="13"/>
  <c r="AW80" i="13"/>
  <c r="AV80" i="13"/>
  <c r="AM80" i="13"/>
  <c r="AL80" i="13"/>
  <c r="AC80" i="13"/>
  <c r="BM80" i="13" s="1"/>
  <c r="AB80" i="13"/>
  <c r="BG79" i="13"/>
  <c r="BD79" i="13"/>
  <c r="BH79" i="13" s="1"/>
  <c r="AU79" i="13"/>
  <c r="AR79" i="13"/>
  <c r="AI79" i="13"/>
  <c r="X79" i="13"/>
  <c r="P79" i="13"/>
  <c r="F79" i="13"/>
  <c r="BK78" i="13"/>
  <c r="BK79" i="13" s="1"/>
  <c r="BJ78" i="13"/>
  <c r="BJ79" i="13" s="1"/>
  <c r="BG78" i="13"/>
  <c r="BF78" i="13"/>
  <c r="BF79" i="13" s="1"/>
  <c r="BE78" i="13"/>
  <c r="BD78" i="13"/>
  <c r="BA78" i="13"/>
  <c r="BA79" i="13" s="1"/>
  <c r="AZ78" i="13"/>
  <c r="AZ79" i="13" s="1"/>
  <c r="AY78" i="13"/>
  <c r="AX78" i="13"/>
  <c r="AX79" i="13" s="1"/>
  <c r="AU78" i="13"/>
  <c r="AT78" i="13"/>
  <c r="AT79" i="13" s="1"/>
  <c r="AS78" i="13"/>
  <c r="AS79" i="13" s="1"/>
  <c r="AR78" i="13"/>
  <c r="AQ78" i="13"/>
  <c r="AQ79" i="13" s="1"/>
  <c r="AP78" i="13"/>
  <c r="AP79" i="13" s="1"/>
  <c r="AO78" i="13"/>
  <c r="AO79" i="13" s="1"/>
  <c r="AN78" i="13"/>
  <c r="AN79" i="13" s="1"/>
  <c r="AK78" i="13"/>
  <c r="AK79" i="13" s="1"/>
  <c r="AJ78" i="13"/>
  <c r="AJ79" i="13" s="1"/>
  <c r="AI78" i="13"/>
  <c r="AH78" i="13"/>
  <c r="AH79" i="13" s="1"/>
  <c r="AG78" i="13"/>
  <c r="AG79" i="13" s="1"/>
  <c r="AF78" i="13"/>
  <c r="AF79" i="13" s="1"/>
  <c r="AE78" i="13"/>
  <c r="AE79" i="13" s="1"/>
  <c r="AD78" i="13"/>
  <c r="AD79" i="13" s="1"/>
  <c r="AA78" i="13"/>
  <c r="AA79" i="13" s="1"/>
  <c r="Z78" i="13"/>
  <c r="Z79" i="13" s="1"/>
  <c r="Y78" i="13"/>
  <c r="Y79" i="13" s="1"/>
  <c r="X78" i="13"/>
  <c r="W78" i="13"/>
  <c r="W79" i="13" s="1"/>
  <c r="V78" i="13"/>
  <c r="V79" i="13" s="1"/>
  <c r="U78" i="13"/>
  <c r="U79" i="13" s="1"/>
  <c r="T78" i="13"/>
  <c r="T79" i="13" s="1"/>
  <c r="S78" i="13"/>
  <c r="S79" i="13" s="1"/>
  <c r="R78" i="13"/>
  <c r="R79" i="13" s="1"/>
  <c r="Q78" i="13"/>
  <c r="Q79" i="13" s="1"/>
  <c r="P78" i="13"/>
  <c r="O78" i="13"/>
  <c r="N78" i="13"/>
  <c r="K78" i="13"/>
  <c r="K79" i="13" s="1"/>
  <c r="J78" i="13"/>
  <c r="J79" i="13" s="1"/>
  <c r="I78" i="13"/>
  <c r="I79" i="13" s="1"/>
  <c r="H78" i="13"/>
  <c r="H79" i="13" s="1"/>
  <c r="G78" i="13"/>
  <c r="G79" i="13" s="1"/>
  <c r="F78" i="13"/>
  <c r="E78" i="13"/>
  <c r="E79" i="13" s="1"/>
  <c r="D78" i="13"/>
  <c r="D79" i="13" s="1"/>
  <c r="C78" i="13"/>
  <c r="C79" i="13" s="1"/>
  <c r="BI77" i="13"/>
  <c r="BH77" i="13"/>
  <c r="BC77" i="13"/>
  <c r="BB77" i="13"/>
  <c r="AW77" i="13"/>
  <c r="AV77" i="13"/>
  <c r="AM77" i="13"/>
  <c r="AL77" i="13"/>
  <c r="AC77" i="13"/>
  <c r="AB77" i="13"/>
  <c r="B77" i="13"/>
  <c r="B78" i="13" s="1"/>
  <c r="B79" i="13" s="1"/>
  <c r="BI76" i="13"/>
  <c r="BH76" i="13"/>
  <c r="BC76" i="13"/>
  <c r="BB76" i="13"/>
  <c r="AW76" i="13"/>
  <c r="AV76" i="13"/>
  <c r="AM76" i="13"/>
  <c r="BM76" i="13" s="1"/>
  <c r="AL76" i="13"/>
  <c r="BL76" i="13" s="1"/>
  <c r="AC76" i="13"/>
  <c r="AB76" i="13"/>
  <c r="BM75" i="13"/>
  <c r="BI75" i="13"/>
  <c r="BH75" i="13"/>
  <c r="BC75" i="13"/>
  <c r="BB75" i="13"/>
  <c r="AW75" i="13"/>
  <c r="AV75" i="13"/>
  <c r="AM75" i="13"/>
  <c r="AL75" i="13"/>
  <c r="BL75" i="13" s="1"/>
  <c r="AC75" i="13"/>
  <c r="AB75" i="13"/>
  <c r="AZ74" i="13"/>
  <c r="AK74" i="13"/>
  <c r="AJ74" i="13"/>
  <c r="BK73" i="13"/>
  <c r="BK74" i="13" s="1"/>
  <c r="BJ73" i="13"/>
  <c r="BJ74" i="13" s="1"/>
  <c r="BG73" i="13"/>
  <c r="BG74" i="13" s="1"/>
  <c r="BF73" i="13"/>
  <c r="BF74" i="13" s="1"/>
  <c r="BE73" i="13"/>
  <c r="BD73" i="13"/>
  <c r="BD74" i="13" s="1"/>
  <c r="BA73" i="13"/>
  <c r="BA74" i="13" s="1"/>
  <c r="AZ73" i="13"/>
  <c r="AY73" i="13"/>
  <c r="AY74" i="13" s="1"/>
  <c r="AX73" i="13"/>
  <c r="AX74" i="13" s="1"/>
  <c r="BB74" i="13" s="1"/>
  <c r="AU73" i="13"/>
  <c r="AU74" i="13" s="1"/>
  <c r="AT73" i="13"/>
  <c r="AT74" i="13" s="1"/>
  <c r="AS73" i="13"/>
  <c r="AW73" i="13" s="1"/>
  <c r="AR73" i="13"/>
  <c r="AQ73" i="13"/>
  <c r="AQ74" i="13" s="1"/>
  <c r="AP73" i="13"/>
  <c r="AP74" i="13" s="1"/>
  <c r="AO73" i="13"/>
  <c r="AO74" i="13" s="1"/>
  <c r="AN73" i="13"/>
  <c r="AN74" i="13" s="1"/>
  <c r="AK73" i="13"/>
  <c r="AJ73" i="13"/>
  <c r="AI73" i="13"/>
  <c r="AI74" i="13" s="1"/>
  <c r="AH73" i="13"/>
  <c r="AH74" i="13" s="1"/>
  <c r="AG73" i="13"/>
  <c r="AG74" i="13" s="1"/>
  <c r="AF73" i="13"/>
  <c r="AF74" i="13" s="1"/>
  <c r="AE73" i="13"/>
  <c r="AE74" i="13" s="1"/>
  <c r="AD73" i="13"/>
  <c r="AD74" i="13" s="1"/>
  <c r="AL74" i="13" s="1"/>
  <c r="AA73" i="13"/>
  <c r="AA74" i="13" s="1"/>
  <c r="Z73" i="13"/>
  <c r="Z74" i="13" s="1"/>
  <c r="Y73" i="13"/>
  <c r="Y74" i="13" s="1"/>
  <c r="X73" i="13"/>
  <c r="X74" i="13" s="1"/>
  <c r="W73" i="13"/>
  <c r="W74" i="13" s="1"/>
  <c r="V73" i="13"/>
  <c r="V74" i="13" s="1"/>
  <c r="U73" i="13"/>
  <c r="U74" i="13" s="1"/>
  <c r="T73" i="13"/>
  <c r="T74" i="13" s="1"/>
  <c r="S73" i="13"/>
  <c r="S74" i="13" s="1"/>
  <c r="R73" i="13"/>
  <c r="R74" i="13" s="1"/>
  <c r="Q73" i="13"/>
  <c r="AC73" i="13" s="1"/>
  <c r="P73" i="13"/>
  <c r="P74" i="13" s="1"/>
  <c r="O73" i="13"/>
  <c r="O74" i="13" s="1"/>
  <c r="N73" i="13"/>
  <c r="K73" i="13"/>
  <c r="K74" i="13" s="1"/>
  <c r="J73" i="13"/>
  <c r="J74" i="13" s="1"/>
  <c r="I73" i="13"/>
  <c r="I74" i="13" s="1"/>
  <c r="H73" i="13"/>
  <c r="H74" i="13" s="1"/>
  <c r="G73" i="13"/>
  <c r="G74" i="13" s="1"/>
  <c r="F73" i="13"/>
  <c r="F74" i="13" s="1"/>
  <c r="E73" i="13"/>
  <c r="E74" i="13" s="1"/>
  <c r="D73" i="13"/>
  <c r="D74" i="13" s="1"/>
  <c r="C73" i="13"/>
  <c r="BI72" i="13"/>
  <c r="BH72" i="13"/>
  <c r="BC72" i="13"/>
  <c r="BB72" i="13"/>
  <c r="AW72" i="13"/>
  <c r="AV72" i="13"/>
  <c r="AM72" i="13"/>
  <c r="AL72" i="13"/>
  <c r="BL72" i="13" s="1"/>
  <c r="AC72" i="13"/>
  <c r="BM72" i="13" s="1"/>
  <c r="AB72" i="13"/>
  <c r="B72" i="13"/>
  <c r="B73" i="13" s="1"/>
  <c r="B74" i="13" s="1"/>
  <c r="BI71" i="13"/>
  <c r="BH71" i="13"/>
  <c r="BC71" i="13"/>
  <c r="BB71" i="13"/>
  <c r="AW71" i="13"/>
  <c r="AV71" i="13"/>
  <c r="AM71" i="13"/>
  <c r="AL71" i="13"/>
  <c r="BL71" i="13" s="1"/>
  <c r="AC71" i="13"/>
  <c r="BM71" i="13" s="1"/>
  <c r="AB71" i="13"/>
  <c r="BI70" i="13"/>
  <c r="BH70" i="13"/>
  <c r="BC70" i="13"/>
  <c r="BB70" i="13"/>
  <c r="AW70" i="13"/>
  <c r="AV70" i="13"/>
  <c r="AM70" i="13"/>
  <c r="BM70" i="13" s="1"/>
  <c r="AL70" i="13"/>
  <c r="AC70" i="13"/>
  <c r="AB70" i="13"/>
  <c r="BK68" i="13"/>
  <c r="BJ68" i="13"/>
  <c r="BG68" i="13"/>
  <c r="BE68" i="13"/>
  <c r="BD68" i="13"/>
  <c r="BA68" i="13"/>
  <c r="AZ68" i="13"/>
  <c r="AY68" i="13"/>
  <c r="AX68" i="13"/>
  <c r="AU68" i="13"/>
  <c r="AT68" i="13"/>
  <c r="AS68" i="13"/>
  <c r="AK68" i="13"/>
  <c r="AI68" i="13"/>
  <c r="AG68" i="13"/>
  <c r="AA68" i="13"/>
  <c r="Y68" i="13"/>
  <c r="W68" i="13"/>
  <c r="U68" i="13"/>
  <c r="S68" i="13"/>
  <c r="Q68" i="13"/>
  <c r="O68" i="13"/>
  <c r="AC68" i="13" s="1"/>
  <c r="K68" i="13"/>
  <c r="I68" i="13"/>
  <c r="H68" i="13"/>
  <c r="D68" i="13"/>
  <c r="C68" i="13"/>
  <c r="BI67" i="13"/>
  <c r="BH67" i="13"/>
  <c r="BC67" i="13"/>
  <c r="BB67" i="13"/>
  <c r="AW67" i="13"/>
  <c r="AV67" i="13"/>
  <c r="AM67" i="13"/>
  <c r="AL67" i="13"/>
  <c r="AC67" i="13"/>
  <c r="BM67" i="13" s="1"/>
  <c r="AB67" i="13"/>
  <c r="B67" i="13"/>
  <c r="BL67" i="13" s="1"/>
  <c r="BI66" i="13"/>
  <c r="BH66" i="13"/>
  <c r="BF66" i="13"/>
  <c r="BC66" i="13"/>
  <c r="BB66" i="13"/>
  <c r="AW66" i="13"/>
  <c r="AR66" i="13"/>
  <c r="AV66" i="13" s="1"/>
  <c r="AQ66" i="13"/>
  <c r="AP66" i="13"/>
  <c r="AN66" i="13"/>
  <c r="AJ66" i="13"/>
  <c r="AH66" i="13"/>
  <c r="AF66" i="13"/>
  <c r="AE66" i="13"/>
  <c r="AM66" i="13" s="1"/>
  <c r="AD66" i="13"/>
  <c r="Z66" i="13"/>
  <c r="X66" i="13"/>
  <c r="V66" i="13"/>
  <c r="T66" i="13"/>
  <c r="R66" i="13"/>
  <c r="P66" i="13"/>
  <c r="O66" i="13"/>
  <c r="AC66" i="13" s="1"/>
  <c r="N66" i="13"/>
  <c r="J66" i="13"/>
  <c r="G66" i="13"/>
  <c r="F66" i="13"/>
  <c r="B66" i="13"/>
  <c r="BI65" i="13"/>
  <c r="BF65" i="13"/>
  <c r="BH65" i="13" s="1"/>
  <c r="BC65" i="13"/>
  <c r="BB65" i="13"/>
  <c r="AW65" i="13"/>
  <c r="AR65" i="13"/>
  <c r="AQ65" i="13"/>
  <c r="AQ68" i="13" s="1"/>
  <c r="AP65" i="13"/>
  <c r="AN65" i="13"/>
  <c r="AN68" i="13" s="1"/>
  <c r="AJ65" i="13"/>
  <c r="AH65" i="13"/>
  <c r="AF65" i="13"/>
  <c r="AE65" i="13"/>
  <c r="AE68" i="13" s="1"/>
  <c r="AD65" i="13"/>
  <c r="Z65" i="13"/>
  <c r="Z68" i="13" s="1"/>
  <c r="X65" i="13"/>
  <c r="X68" i="13" s="1"/>
  <c r="V65" i="13"/>
  <c r="T65" i="13"/>
  <c r="R65" i="13"/>
  <c r="R68" i="13" s="1"/>
  <c r="P65" i="13"/>
  <c r="P68" i="13" s="1"/>
  <c r="O65" i="13"/>
  <c r="AC65" i="13" s="1"/>
  <c r="N65" i="13"/>
  <c r="J65" i="13"/>
  <c r="J68" i="13" s="1"/>
  <c r="G65" i="13"/>
  <c r="F65" i="13"/>
  <c r="F68" i="13" s="1"/>
  <c r="B65" i="13"/>
  <c r="BI64" i="13"/>
  <c r="BH64" i="13"/>
  <c r="BC64" i="13"/>
  <c r="BB64" i="13"/>
  <c r="AW64" i="13"/>
  <c r="AV64" i="13"/>
  <c r="AO64" i="13"/>
  <c r="AO68" i="13" s="1"/>
  <c r="AM64" i="13"/>
  <c r="AL64" i="13"/>
  <c r="AC64" i="13"/>
  <c r="AB64" i="13"/>
  <c r="G64" i="13"/>
  <c r="E64" i="13"/>
  <c r="E68" i="13" s="1"/>
  <c r="BK63" i="13"/>
  <c r="BG63" i="13"/>
  <c r="BE63" i="13"/>
  <c r="BD63" i="13"/>
  <c r="AY63" i="13"/>
  <c r="AU63" i="13"/>
  <c r="AT63" i="13"/>
  <c r="AS63" i="13"/>
  <c r="AS69" i="13" s="1"/>
  <c r="AK63" i="13"/>
  <c r="AI63" i="13"/>
  <c r="AG63" i="13"/>
  <c r="AA63" i="13"/>
  <c r="Y63" i="13"/>
  <c r="Y69" i="13" s="1"/>
  <c r="X63" i="13"/>
  <c r="W63" i="13"/>
  <c r="U63" i="13"/>
  <c r="S63" i="13"/>
  <c r="Q63" i="13"/>
  <c r="K63" i="13"/>
  <c r="K69" i="13" s="1"/>
  <c r="J63" i="13"/>
  <c r="I63" i="13"/>
  <c r="H63" i="13"/>
  <c r="G63" i="13"/>
  <c r="C63" i="13"/>
  <c r="BI62" i="13"/>
  <c r="BH62" i="13"/>
  <c r="BB62" i="13"/>
  <c r="BA62" i="13"/>
  <c r="BC62" i="13" s="1"/>
  <c r="AW62" i="13"/>
  <c r="AV62" i="13"/>
  <c r="AM62" i="13"/>
  <c r="AL62" i="13"/>
  <c r="AC62" i="13"/>
  <c r="AB62" i="13"/>
  <c r="BI61" i="13"/>
  <c r="BH61" i="13"/>
  <c r="BB61" i="13"/>
  <c r="BA61" i="13"/>
  <c r="BC61" i="13" s="1"/>
  <c r="AW61" i="13"/>
  <c r="AV61" i="13"/>
  <c r="AM61" i="13"/>
  <c r="AL61" i="13"/>
  <c r="BL61" i="13" s="1"/>
  <c r="AC61" i="13"/>
  <c r="AB61" i="13"/>
  <c r="BJ60" i="13"/>
  <c r="BJ63" i="13" s="1"/>
  <c r="BI60" i="13"/>
  <c r="BH60" i="13"/>
  <c r="BF60" i="13"/>
  <c r="BF63" i="13" s="1"/>
  <c r="BC60" i="13"/>
  <c r="AZ60" i="13"/>
  <c r="AZ63" i="13" s="1"/>
  <c r="AX60" i="13"/>
  <c r="AX63" i="13" s="1"/>
  <c r="BB63" i="13" s="1"/>
  <c r="AW60" i="13"/>
  <c r="AR60" i="13"/>
  <c r="AQ60" i="13"/>
  <c r="AQ63" i="13" s="1"/>
  <c r="AP60" i="13"/>
  <c r="AP63" i="13" s="1"/>
  <c r="AO60" i="13"/>
  <c r="AO63" i="13" s="1"/>
  <c r="AO69" i="13" s="1"/>
  <c r="AN60" i="13"/>
  <c r="AN63" i="13" s="1"/>
  <c r="AJ60" i="13"/>
  <c r="AJ63" i="13" s="1"/>
  <c r="AH60" i="13"/>
  <c r="AH63" i="13" s="1"/>
  <c r="AF60" i="13"/>
  <c r="AF63" i="13" s="1"/>
  <c r="AE60" i="13"/>
  <c r="AE63" i="13" s="1"/>
  <c r="AD60" i="13"/>
  <c r="AD63" i="13" s="1"/>
  <c r="Z60" i="13"/>
  <c r="Z63" i="13" s="1"/>
  <c r="X60" i="13"/>
  <c r="V60" i="13"/>
  <c r="V63" i="13" s="1"/>
  <c r="T60" i="13"/>
  <c r="T63" i="13" s="1"/>
  <c r="R60" i="13"/>
  <c r="R63" i="13" s="1"/>
  <c r="P60" i="13"/>
  <c r="P63" i="13" s="1"/>
  <c r="O60" i="13"/>
  <c r="O63" i="13" s="1"/>
  <c r="N60" i="13"/>
  <c r="J60" i="13"/>
  <c r="G60" i="13"/>
  <c r="F60" i="13"/>
  <c r="F63" i="13" s="1"/>
  <c r="E60" i="13"/>
  <c r="E63" i="13" s="1"/>
  <c r="D60" i="13"/>
  <c r="D63" i="13" s="1"/>
  <c r="C60" i="13"/>
  <c r="B60" i="13"/>
  <c r="BK59" i="13"/>
  <c r="BK69" i="13" s="1"/>
  <c r="BJ59" i="13"/>
  <c r="BG59" i="13"/>
  <c r="BE59" i="13"/>
  <c r="BI59" i="13" s="1"/>
  <c r="BD59" i="13"/>
  <c r="AY59" i="13"/>
  <c r="AU59" i="13"/>
  <c r="AT59" i="13"/>
  <c r="AS59" i="13"/>
  <c r="AK59" i="13"/>
  <c r="AI59" i="13"/>
  <c r="AG59" i="13"/>
  <c r="AA59" i="13"/>
  <c r="AA69" i="13" s="1"/>
  <c r="Y59" i="13"/>
  <c r="W59" i="13"/>
  <c r="V59" i="13"/>
  <c r="U59" i="13"/>
  <c r="S59" i="13"/>
  <c r="Q59" i="13"/>
  <c r="N59" i="13"/>
  <c r="K59" i="13"/>
  <c r="I59" i="13"/>
  <c r="H59" i="13"/>
  <c r="H69" i="13" s="1"/>
  <c r="BI58" i="13"/>
  <c r="BH58" i="13"/>
  <c r="BC58" i="13"/>
  <c r="BB58" i="13"/>
  <c r="AW58" i="13"/>
  <c r="AV58" i="13"/>
  <c r="AN58" i="13"/>
  <c r="AM58" i="13"/>
  <c r="AL58" i="13"/>
  <c r="AD58" i="13"/>
  <c r="AC58" i="13"/>
  <c r="AB58" i="13"/>
  <c r="BL58" i="13" s="1"/>
  <c r="N58" i="13"/>
  <c r="F58" i="13"/>
  <c r="B58" i="13"/>
  <c r="BM57" i="13"/>
  <c r="BI57" i="13"/>
  <c r="BH57" i="13"/>
  <c r="BC57" i="13"/>
  <c r="BB57" i="13"/>
  <c r="AW57" i="13"/>
  <c r="AV57" i="13"/>
  <c r="AQ57" i="13"/>
  <c r="AP57" i="13"/>
  <c r="AM57" i="13"/>
  <c r="AL57" i="13"/>
  <c r="AC57" i="13"/>
  <c r="AB57" i="13"/>
  <c r="BL57" i="13" s="1"/>
  <c r="B57" i="13"/>
  <c r="BI56" i="13"/>
  <c r="BF56" i="13"/>
  <c r="BH56" i="13" s="1"/>
  <c r="BC56" i="13"/>
  <c r="AZ56" i="13"/>
  <c r="AX56" i="13"/>
  <c r="BB56" i="13" s="1"/>
  <c r="AW56" i="13"/>
  <c r="AV56" i="13"/>
  <c r="AR56" i="13"/>
  <c r="AP56" i="13"/>
  <c r="AN56" i="13"/>
  <c r="AM56" i="13"/>
  <c r="AJ56" i="13"/>
  <c r="AH56" i="13"/>
  <c r="AF56" i="13"/>
  <c r="AD56" i="13"/>
  <c r="AC56" i="13"/>
  <c r="Z56" i="13"/>
  <c r="X56" i="13"/>
  <c r="V56" i="13"/>
  <c r="T56" i="13"/>
  <c r="R56" i="13"/>
  <c r="P56" i="13"/>
  <c r="N56" i="13"/>
  <c r="J56" i="13"/>
  <c r="F56" i="13"/>
  <c r="D56" i="13"/>
  <c r="B56" i="13"/>
  <c r="BI55" i="13"/>
  <c r="BH55" i="13"/>
  <c r="BC55" i="13"/>
  <c r="BB55" i="13"/>
  <c r="AW55" i="13"/>
  <c r="AV55" i="13"/>
  <c r="AM55" i="13"/>
  <c r="AL55" i="13"/>
  <c r="AC55" i="13"/>
  <c r="BM55" i="13" s="1"/>
  <c r="AB55" i="13"/>
  <c r="B55" i="13"/>
  <c r="BI54" i="13"/>
  <c r="BF54" i="13"/>
  <c r="BF59" i="13" s="1"/>
  <c r="BA54" i="13"/>
  <c r="AZ54" i="13"/>
  <c r="AZ59" i="13" s="1"/>
  <c r="AX54" i="13"/>
  <c r="AX59" i="13" s="1"/>
  <c r="AW54" i="13"/>
  <c r="AV54" i="13"/>
  <c r="AR54" i="13"/>
  <c r="AR59" i="13" s="1"/>
  <c r="AQ54" i="13"/>
  <c r="AQ59" i="13" s="1"/>
  <c r="AQ69" i="13" s="1"/>
  <c r="AP54" i="13"/>
  <c r="AP59" i="13" s="1"/>
  <c r="AO54" i="13"/>
  <c r="AO59" i="13" s="1"/>
  <c r="AN54" i="13"/>
  <c r="AJ54" i="13"/>
  <c r="AJ59" i="13" s="1"/>
  <c r="AH54" i="13"/>
  <c r="AF54" i="13"/>
  <c r="AE54" i="13"/>
  <c r="AM54" i="13" s="1"/>
  <c r="AD54" i="13"/>
  <c r="Z54" i="13"/>
  <c r="Z59" i="13" s="1"/>
  <c r="X54" i="13"/>
  <c r="V54" i="13"/>
  <c r="T54" i="13"/>
  <c r="R54" i="13"/>
  <c r="R59" i="13" s="1"/>
  <c r="R69" i="13" s="1"/>
  <c r="P54" i="13"/>
  <c r="O54" i="13"/>
  <c r="AC54" i="13" s="1"/>
  <c r="N54" i="13"/>
  <c r="J54" i="13"/>
  <c r="J59" i="13" s="1"/>
  <c r="J69" i="13" s="1"/>
  <c r="G54" i="13"/>
  <c r="G59" i="13" s="1"/>
  <c r="F54" i="13"/>
  <c r="E54" i="13"/>
  <c r="E59" i="13" s="1"/>
  <c r="D54" i="13"/>
  <c r="D59" i="13" s="1"/>
  <c r="C54" i="13"/>
  <c r="B54" i="13"/>
  <c r="BI53" i="13"/>
  <c r="BH53" i="13"/>
  <c r="BC53" i="13"/>
  <c r="BB53" i="13"/>
  <c r="AW53" i="13"/>
  <c r="AV53" i="13"/>
  <c r="AM53" i="13"/>
  <c r="AL53" i="13"/>
  <c r="AC53" i="13"/>
  <c r="BM53" i="13" s="1"/>
  <c r="AB53" i="13"/>
  <c r="BL53" i="13" s="1"/>
  <c r="BI51" i="13"/>
  <c r="BH51" i="13"/>
  <c r="BC51" i="13"/>
  <c r="BB51" i="13"/>
  <c r="AZ51" i="13"/>
  <c r="AW51" i="13"/>
  <c r="AV51" i="13"/>
  <c r="AP51" i="13"/>
  <c r="AN51" i="13"/>
  <c r="AL51" i="13"/>
  <c r="AE51" i="13"/>
  <c r="AM51" i="13" s="1"/>
  <c r="O51" i="13"/>
  <c r="AC51" i="13" s="1"/>
  <c r="N51" i="13"/>
  <c r="AB51" i="13" s="1"/>
  <c r="F51" i="13"/>
  <c r="C51" i="13"/>
  <c r="B51" i="13"/>
  <c r="BI50" i="13"/>
  <c r="BD50" i="13"/>
  <c r="BH50" i="13" s="1"/>
  <c r="BC50" i="13"/>
  <c r="AZ50" i="13"/>
  <c r="AX50" i="13"/>
  <c r="BB50" i="13" s="1"/>
  <c r="AW50" i="13"/>
  <c r="AT50" i="13"/>
  <c r="AR50" i="13"/>
  <c r="AP50" i="13"/>
  <c r="AN50" i="13"/>
  <c r="AE50" i="13"/>
  <c r="AM50" i="13" s="1"/>
  <c r="AD50" i="13"/>
  <c r="AL50" i="13" s="1"/>
  <c r="O50" i="13"/>
  <c r="AC50" i="13" s="1"/>
  <c r="N50" i="13"/>
  <c r="AB50" i="13" s="1"/>
  <c r="J50" i="13"/>
  <c r="G50" i="13"/>
  <c r="F50" i="13"/>
  <c r="E50" i="13"/>
  <c r="D50" i="13"/>
  <c r="B50" i="13"/>
  <c r="BI49" i="13"/>
  <c r="BH49" i="13"/>
  <c r="BC49" i="13"/>
  <c r="BB49" i="13"/>
  <c r="AW49" i="13"/>
  <c r="AV49" i="13"/>
  <c r="AJ49" i="13"/>
  <c r="AH49" i="13"/>
  <c r="AE49" i="13"/>
  <c r="AM49" i="13" s="1"/>
  <c r="AD49" i="13"/>
  <c r="X49" i="13"/>
  <c r="V49" i="13"/>
  <c r="T49" i="13"/>
  <c r="R49" i="13"/>
  <c r="P49" i="13"/>
  <c r="O49" i="13"/>
  <c r="AC49" i="13" s="1"/>
  <c r="BM49" i="13" s="1"/>
  <c r="B49" i="13"/>
  <c r="BK48" i="13"/>
  <c r="BJ48" i="13"/>
  <c r="BG48" i="13"/>
  <c r="BF48" i="13"/>
  <c r="BE48" i="13"/>
  <c r="BD48" i="13"/>
  <c r="BA48" i="13"/>
  <c r="AY48" i="13"/>
  <c r="BC48" i="13" s="1"/>
  <c r="AU48" i="13"/>
  <c r="AS48" i="13"/>
  <c r="AW48" i="13" s="1"/>
  <c r="AK48" i="13"/>
  <c r="AJ48" i="13"/>
  <c r="AI48" i="13"/>
  <c r="AG48" i="13"/>
  <c r="AF48" i="13"/>
  <c r="AD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K48" i="13"/>
  <c r="I48" i="13"/>
  <c r="H48" i="13"/>
  <c r="D48" i="13"/>
  <c r="C48" i="13"/>
  <c r="BI47" i="13"/>
  <c r="BH47" i="13"/>
  <c r="BC47" i="13"/>
  <c r="BB47" i="13"/>
  <c r="AW47" i="13"/>
  <c r="AV47" i="13"/>
  <c r="AM47" i="13"/>
  <c r="AL47" i="13"/>
  <c r="AC47" i="13"/>
  <c r="AB47" i="13"/>
  <c r="G47" i="13"/>
  <c r="D47" i="13"/>
  <c r="BI46" i="13"/>
  <c r="BH46" i="13"/>
  <c r="BC46" i="13"/>
  <c r="BB46" i="13"/>
  <c r="AW46" i="13"/>
  <c r="AV46" i="13"/>
  <c r="AT46" i="13"/>
  <c r="AT48" i="13" s="1"/>
  <c r="AM46" i="13"/>
  <c r="AL46" i="13"/>
  <c r="AC46" i="13"/>
  <c r="BM46" i="13" s="1"/>
  <c r="AB46" i="13"/>
  <c r="BI45" i="13"/>
  <c r="BH45" i="13"/>
  <c r="BC45" i="13"/>
  <c r="BB45" i="13"/>
  <c r="AW45" i="13"/>
  <c r="AV45" i="13"/>
  <c r="AM45" i="13"/>
  <c r="AL45" i="13"/>
  <c r="AC45" i="13"/>
  <c r="AB45" i="13"/>
  <c r="BL45" i="13" s="1"/>
  <c r="G45" i="13"/>
  <c r="BM45" i="13" s="1"/>
  <c r="BI44" i="13"/>
  <c r="BF44" i="13"/>
  <c r="BH44" i="13" s="1"/>
  <c r="BC44" i="13"/>
  <c r="BA44" i="13"/>
  <c r="AZ44" i="13"/>
  <c r="AZ48" i="13" s="1"/>
  <c r="AX44" i="13"/>
  <c r="BB44" i="13" s="1"/>
  <c r="AW44" i="13"/>
  <c r="AV44" i="13"/>
  <c r="AR44" i="13"/>
  <c r="AR48" i="13" s="1"/>
  <c r="AQ44" i="13"/>
  <c r="AQ48" i="13" s="1"/>
  <c r="AP44" i="13"/>
  <c r="AP48" i="13" s="1"/>
  <c r="AO44" i="13"/>
  <c r="AO48" i="13" s="1"/>
  <c r="AN44" i="13"/>
  <c r="AN48" i="13" s="1"/>
  <c r="AM44" i="13"/>
  <c r="AH44" i="13"/>
  <c r="AH48" i="13" s="1"/>
  <c r="AE44" i="13"/>
  <c r="AE48" i="13" s="1"/>
  <c r="AD44" i="13"/>
  <c r="O44" i="13"/>
  <c r="O48" i="13" s="1"/>
  <c r="AC48" i="13" s="1"/>
  <c r="N44" i="13"/>
  <c r="AB44" i="13" s="1"/>
  <c r="J44" i="13"/>
  <c r="J48" i="13" s="1"/>
  <c r="F44" i="13"/>
  <c r="F48" i="13" s="1"/>
  <c r="E44" i="13"/>
  <c r="E48" i="13" s="1"/>
  <c r="B44" i="13"/>
  <c r="B48" i="13" s="1"/>
  <c r="BK43" i="13"/>
  <c r="BJ43" i="13"/>
  <c r="BG43" i="13"/>
  <c r="BF43" i="13"/>
  <c r="BE43" i="13"/>
  <c r="BD43" i="13"/>
  <c r="BH43" i="13" s="1"/>
  <c r="BA43" i="13"/>
  <c r="AZ43" i="13"/>
  <c r="AY43" i="13"/>
  <c r="AX43" i="13"/>
  <c r="BB43" i="13" s="1"/>
  <c r="AU43" i="13"/>
  <c r="AT43" i="13"/>
  <c r="AS43" i="13"/>
  <c r="AR43" i="13"/>
  <c r="AQ43" i="13"/>
  <c r="AP43" i="13"/>
  <c r="AO43" i="13"/>
  <c r="AN43" i="13"/>
  <c r="AK43" i="13"/>
  <c r="AJ43" i="13"/>
  <c r="AI43" i="13"/>
  <c r="AH43" i="13"/>
  <c r="AG43" i="13"/>
  <c r="AF43" i="13"/>
  <c r="AE43" i="13"/>
  <c r="AD43" i="13"/>
  <c r="AL43" i="13" s="1"/>
  <c r="AA43" i="13"/>
  <c r="Z43" i="13"/>
  <c r="Y43" i="13"/>
  <c r="X43" i="13"/>
  <c r="W43" i="13"/>
  <c r="W52" i="13" s="1"/>
  <c r="V43" i="13"/>
  <c r="U43" i="13"/>
  <c r="T43" i="13"/>
  <c r="S43" i="13"/>
  <c r="S52" i="13" s="1"/>
  <c r="R43" i="13"/>
  <c r="Q43" i="13"/>
  <c r="P43" i="13"/>
  <c r="O43" i="13"/>
  <c r="N43" i="13"/>
  <c r="K43" i="13"/>
  <c r="J43" i="13"/>
  <c r="I43" i="13"/>
  <c r="H43" i="13"/>
  <c r="G43" i="13"/>
  <c r="F43" i="13"/>
  <c r="C43" i="13"/>
  <c r="B43" i="13"/>
  <c r="BI42" i="13"/>
  <c r="BH42" i="13"/>
  <c r="BC42" i="13"/>
  <c r="BB42" i="13"/>
  <c r="AW42" i="13"/>
  <c r="AV42" i="13"/>
  <c r="AM42" i="13"/>
  <c r="AL42" i="13"/>
  <c r="AC42" i="13"/>
  <c r="AB42" i="13"/>
  <c r="E42" i="13"/>
  <c r="BM42" i="13" s="1"/>
  <c r="D42" i="13"/>
  <c r="BI41" i="13"/>
  <c r="BH41" i="13"/>
  <c r="BC41" i="13"/>
  <c r="BB41" i="13"/>
  <c r="AW41" i="13"/>
  <c r="AV41" i="13"/>
  <c r="AM41" i="13"/>
  <c r="AL41" i="13"/>
  <c r="AC41" i="13"/>
  <c r="AB41" i="13"/>
  <c r="E41" i="13"/>
  <c r="BM41" i="13" s="1"/>
  <c r="D41" i="13"/>
  <c r="BI40" i="13"/>
  <c r="BH40" i="13"/>
  <c r="BC40" i="13"/>
  <c r="BB40" i="13"/>
  <c r="AW40" i="13"/>
  <c r="AV40" i="13"/>
  <c r="AM40" i="13"/>
  <c r="AL40" i="13"/>
  <c r="AC40" i="13"/>
  <c r="AB40" i="13"/>
  <c r="E40" i="13"/>
  <c r="BM40" i="13" s="1"/>
  <c r="D40" i="13"/>
  <c r="BI39" i="13"/>
  <c r="BH39" i="13"/>
  <c r="BC39" i="13"/>
  <c r="BB39" i="13"/>
  <c r="AW39" i="13"/>
  <c r="AV39" i="13"/>
  <c r="AM39" i="13"/>
  <c r="AL39" i="13"/>
  <c r="AC39" i="13"/>
  <c r="AB39" i="13"/>
  <c r="E39" i="13"/>
  <c r="BM39" i="13" s="1"/>
  <c r="D39" i="13"/>
  <c r="BI38" i="13"/>
  <c r="BH38" i="13"/>
  <c r="BC38" i="13"/>
  <c r="BB38" i="13"/>
  <c r="AW38" i="13"/>
  <c r="AV38" i="13"/>
  <c r="AM38" i="13"/>
  <c r="AL38" i="13"/>
  <c r="AC38" i="13"/>
  <c r="AB38" i="13"/>
  <c r="BI37" i="13"/>
  <c r="BH37" i="13"/>
  <c r="BC37" i="13"/>
  <c r="BB37" i="13"/>
  <c r="AW37" i="13"/>
  <c r="AV37" i="13"/>
  <c r="AM37" i="13"/>
  <c r="AL37" i="13"/>
  <c r="AC37" i="13"/>
  <c r="AB37" i="13"/>
  <c r="E37" i="13"/>
  <c r="D37" i="13"/>
  <c r="BL37" i="13" s="1"/>
  <c r="BI36" i="13"/>
  <c r="BH36" i="13"/>
  <c r="BC36" i="13"/>
  <c r="BB36" i="13"/>
  <c r="AW36" i="13"/>
  <c r="AV36" i="13"/>
  <c r="AP36" i="13"/>
  <c r="AN36" i="13"/>
  <c r="AM36" i="13"/>
  <c r="AL36" i="13"/>
  <c r="AD36" i="13"/>
  <c r="AC36" i="13"/>
  <c r="N36" i="13"/>
  <c r="AB36" i="13" s="1"/>
  <c r="F36" i="13"/>
  <c r="B36" i="13"/>
  <c r="BK35" i="13"/>
  <c r="BK52" i="13" s="1"/>
  <c r="BK131" i="13" s="1"/>
  <c r="BJ35" i="13"/>
  <c r="BG35" i="13"/>
  <c r="BG52" i="13" s="1"/>
  <c r="BF35" i="13"/>
  <c r="BE35" i="13"/>
  <c r="BE52" i="13" s="1"/>
  <c r="BD35" i="13"/>
  <c r="BD52" i="13" s="1"/>
  <c r="BA35" i="13"/>
  <c r="AY35" i="13"/>
  <c r="BC35" i="13" s="1"/>
  <c r="AU35" i="13"/>
  <c r="AU52" i="13" s="1"/>
  <c r="AT35" i="13"/>
  <c r="AS35" i="13"/>
  <c r="AR35" i="13"/>
  <c r="AR52" i="13" s="1"/>
  <c r="AQ35" i="13"/>
  <c r="AO35" i="13"/>
  <c r="AK35" i="13"/>
  <c r="AJ35" i="13"/>
  <c r="AI35" i="13"/>
  <c r="AI52" i="13" s="1"/>
  <c r="AH35" i="13"/>
  <c r="AG35" i="13"/>
  <c r="AF35" i="13"/>
  <c r="AF52" i="13" s="1"/>
  <c r="AA35" i="13"/>
  <c r="AA52" i="13" s="1"/>
  <c r="Z35" i="13"/>
  <c r="Y35" i="13"/>
  <c r="Y52" i="13" s="1"/>
  <c r="X35" i="13"/>
  <c r="X52" i="13" s="1"/>
  <c r="W35" i="13"/>
  <c r="V35" i="13"/>
  <c r="U35" i="13"/>
  <c r="U52" i="13" s="1"/>
  <c r="T35" i="13"/>
  <c r="T52" i="13" s="1"/>
  <c r="S35" i="13"/>
  <c r="R35" i="13"/>
  <c r="Q35" i="13"/>
  <c r="Q52" i="13" s="1"/>
  <c r="P35" i="13"/>
  <c r="P52" i="13" s="1"/>
  <c r="K35" i="13"/>
  <c r="K52" i="13" s="1"/>
  <c r="J35" i="13"/>
  <c r="I35" i="13"/>
  <c r="I52" i="13" s="1"/>
  <c r="H35" i="13"/>
  <c r="H52" i="13" s="1"/>
  <c r="E35" i="13"/>
  <c r="D35" i="13"/>
  <c r="C35" i="13"/>
  <c r="BI34" i="13"/>
  <c r="BH34" i="13"/>
  <c r="BD34" i="13"/>
  <c r="BC34" i="13"/>
  <c r="BB34" i="13"/>
  <c r="AW34" i="13"/>
  <c r="AV34" i="13"/>
  <c r="AM34" i="13"/>
  <c r="AL34" i="13"/>
  <c r="AC34" i="13"/>
  <c r="AB34" i="13"/>
  <c r="B34" i="13"/>
  <c r="BI33" i="13"/>
  <c r="BH33" i="13"/>
  <c r="BC33" i="13"/>
  <c r="AZ33" i="13"/>
  <c r="AZ35" i="13" s="1"/>
  <c r="AZ52" i="13" s="1"/>
  <c r="AX33" i="13"/>
  <c r="AX35" i="13" s="1"/>
  <c r="AW33" i="13"/>
  <c r="AV33" i="13"/>
  <c r="AP33" i="13"/>
  <c r="AP35" i="13" s="1"/>
  <c r="AN33" i="13"/>
  <c r="AN35" i="13" s="1"/>
  <c r="AN52" i="13" s="1"/>
  <c r="AE33" i="13"/>
  <c r="AD33" i="13"/>
  <c r="O33" i="13"/>
  <c r="N33" i="13"/>
  <c r="N35" i="13" s="1"/>
  <c r="G33" i="13"/>
  <c r="F33" i="13"/>
  <c r="F35" i="13" s="1"/>
  <c r="B33" i="13"/>
  <c r="BI32" i="13"/>
  <c r="BH32" i="13"/>
  <c r="BB32" i="13"/>
  <c r="BA32" i="13"/>
  <c r="AW32" i="13"/>
  <c r="AV32" i="13"/>
  <c r="AQ32" i="13"/>
  <c r="AO32" i="13"/>
  <c r="AM32" i="13"/>
  <c r="AL32" i="13"/>
  <c r="AB32" i="13"/>
  <c r="O32" i="13"/>
  <c r="AC32" i="13" s="1"/>
  <c r="B32" i="13"/>
  <c r="X29" i="13"/>
  <c r="X30" i="13" s="1"/>
  <c r="T29" i="13"/>
  <c r="T30" i="13" s="1"/>
  <c r="J29" i="13"/>
  <c r="J30" i="13" s="1"/>
  <c r="BL28" i="13"/>
  <c r="BJ28" i="13"/>
  <c r="BI28" i="13"/>
  <c r="BH28" i="13"/>
  <c r="BC28" i="13"/>
  <c r="BB28" i="13"/>
  <c r="AW28" i="13"/>
  <c r="AV28" i="13"/>
  <c r="AM28" i="13"/>
  <c r="AL28" i="13"/>
  <c r="AC28" i="13"/>
  <c r="AB28" i="13"/>
  <c r="BI27" i="13"/>
  <c r="BD27" i="13"/>
  <c r="BH27" i="13" s="1"/>
  <c r="BC27" i="13"/>
  <c r="BB27" i="13"/>
  <c r="AW27" i="13"/>
  <c r="AV27" i="13"/>
  <c r="AM27" i="13"/>
  <c r="AL27" i="13"/>
  <c r="AC27" i="13"/>
  <c r="AB27" i="13"/>
  <c r="B27" i="13"/>
  <c r="BK26" i="13"/>
  <c r="BJ26" i="13"/>
  <c r="BG26" i="13"/>
  <c r="BF26" i="13"/>
  <c r="BE26" i="13"/>
  <c r="BI26" i="13" s="1"/>
  <c r="BA26" i="13"/>
  <c r="AY26" i="13"/>
  <c r="AX26" i="13"/>
  <c r="AU26" i="13"/>
  <c r="AT26" i="13"/>
  <c r="AS26" i="13"/>
  <c r="AR26" i="13"/>
  <c r="AQ26" i="13"/>
  <c r="AP26" i="13"/>
  <c r="AO26" i="13"/>
  <c r="AN26" i="13"/>
  <c r="AK26" i="13"/>
  <c r="AJ26" i="13"/>
  <c r="AI26" i="13"/>
  <c r="AH26" i="13"/>
  <c r="AG26" i="13"/>
  <c r="AF26" i="13"/>
  <c r="AE26" i="13"/>
  <c r="AD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AB26" i="13" s="1"/>
  <c r="K26" i="13"/>
  <c r="J26" i="13"/>
  <c r="I26" i="13"/>
  <c r="H26" i="13"/>
  <c r="F26" i="13"/>
  <c r="BI25" i="13"/>
  <c r="BH25" i="13"/>
  <c r="BC25" i="13"/>
  <c r="BB25" i="13"/>
  <c r="AW25" i="13"/>
  <c r="AV25" i="13"/>
  <c r="AM25" i="13"/>
  <c r="AL25" i="13"/>
  <c r="AC25" i="13"/>
  <c r="BM25" i="13" s="1"/>
  <c r="AB25" i="13"/>
  <c r="D25" i="13"/>
  <c r="D26" i="13" s="1"/>
  <c r="BI24" i="13"/>
  <c r="BH24" i="13"/>
  <c r="BC24" i="13"/>
  <c r="BB24" i="13"/>
  <c r="AW24" i="13"/>
  <c r="AV24" i="13"/>
  <c r="AM24" i="13"/>
  <c r="AL24" i="13"/>
  <c r="AC24" i="13"/>
  <c r="AB24" i="13"/>
  <c r="G24" i="13"/>
  <c r="G26" i="13" s="1"/>
  <c r="E24" i="13"/>
  <c r="E26" i="13" s="1"/>
  <c r="C24" i="13"/>
  <c r="C26" i="13" s="1"/>
  <c r="BI23" i="13"/>
  <c r="BD23" i="13"/>
  <c r="BD26" i="13" s="1"/>
  <c r="BH26" i="13" s="1"/>
  <c r="BC23" i="13"/>
  <c r="AZ23" i="13"/>
  <c r="AW23" i="13"/>
  <c r="AV23" i="13"/>
  <c r="AM23" i="13"/>
  <c r="AL23" i="13"/>
  <c r="AC23" i="13"/>
  <c r="AB23" i="13"/>
  <c r="B23" i="13"/>
  <c r="B26" i="13" s="1"/>
  <c r="BI22" i="13"/>
  <c r="BH22" i="13"/>
  <c r="BC22" i="13"/>
  <c r="BB22" i="13"/>
  <c r="AW22" i="13"/>
  <c r="AV22" i="13"/>
  <c r="AM22" i="13"/>
  <c r="AL22" i="13"/>
  <c r="AC22" i="13"/>
  <c r="BM22" i="13" s="1"/>
  <c r="AB22" i="13"/>
  <c r="B22" i="13"/>
  <c r="BK21" i="13"/>
  <c r="BJ21" i="13"/>
  <c r="BG21" i="13"/>
  <c r="BF21" i="13"/>
  <c r="BE21" i="13"/>
  <c r="BI21" i="13" s="1"/>
  <c r="BA21" i="13"/>
  <c r="AY21" i="13"/>
  <c r="AX21" i="13"/>
  <c r="AU21" i="13"/>
  <c r="AT21" i="13"/>
  <c r="AS21" i="13"/>
  <c r="AR21" i="13"/>
  <c r="AQ21" i="13"/>
  <c r="AP21" i="13"/>
  <c r="AO21" i="13"/>
  <c r="AN21" i="13"/>
  <c r="AK21" i="13"/>
  <c r="AJ21" i="13"/>
  <c r="AI21" i="13"/>
  <c r="AH21" i="13"/>
  <c r="AG21" i="13"/>
  <c r="AF21" i="13"/>
  <c r="AE21" i="13"/>
  <c r="AD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AC21" i="13" s="1"/>
  <c r="N21" i="13"/>
  <c r="K21" i="13"/>
  <c r="J21" i="13"/>
  <c r="I21" i="13"/>
  <c r="H21" i="13"/>
  <c r="G21" i="13"/>
  <c r="F21" i="13"/>
  <c r="E21" i="13"/>
  <c r="D21" i="13"/>
  <c r="C21" i="13"/>
  <c r="BI20" i="13"/>
  <c r="BD20" i="13"/>
  <c r="BH20" i="13" s="1"/>
  <c r="BC20" i="13"/>
  <c r="BB20" i="13"/>
  <c r="AW20" i="13"/>
  <c r="AV20" i="13"/>
  <c r="AM20" i="13"/>
  <c r="AL20" i="13"/>
  <c r="AC20" i="13"/>
  <c r="BM20" i="13" s="1"/>
  <c r="AB20" i="13"/>
  <c r="BL20" i="13" s="1"/>
  <c r="BI19" i="13"/>
  <c r="BD19" i="13"/>
  <c r="BC19" i="13"/>
  <c r="AZ19" i="13"/>
  <c r="AZ21" i="13" s="1"/>
  <c r="AW19" i="13"/>
  <c r="AV19" i="13"/>
  <c r="AM19" i="13"/>
  <c r="AL19" i="13"/>
  <c r="AC19" i="13"/>
  <c r="AB19" i="13"/>
  <c r="B19" i="13"/>
  <c r="B21" i="13" s="1"/>
  <c r="BI18" i="13"/>
  <c r="BH18" i="13"/>
  <c r="BC18" i="13"/>
  <c r="BB18" i="13"/>
  <c r="AW18" i="13"/>
  <c r="AV18" i="13"/>
  <c r="AM18" i="13"/>
  <c r="AL18" i="13"/>
  <c r="AC18" i="13"/>
  <c r="AB18" i="13"/>
  <c r="C18" i="13"/>
  <c r="BM18" i="13" s="1"/>
  <c r="B18" i="13"/>
  <c r="BL18" i="13" s="1"/>
  <c r="BI17" i="13"/>
  <c r="BD17" i="13"/>
  <c r="BH17" i="13" s="1"/>
  <c r="BC17" i="13"/>
  <c r="BB17" i="13"/>
  <c r="AW17" i="13"/>
  <c r="AV17" i="13"/>
  <c r="AM17" i="13"/>
  <c r="AL17" i="13"/>
  <c r="AC17" i="13"/>
  <c r="AB17" i="13"/>
  <c r="BI16" i="13"/>
  <c r="BH16" i="13"/>
  <c r="BC16" i="13"/>
  <c r="BB16" i="13"/>
  <c r="AW16" i="13"/>
  <c r="AV16" i="13"/>
  <c r="AT16" i="13"/>
  <c r="AM16" i="13"/>
  <c r="AL16" i="13"/>
  <c r="BL16" i="13" s="1"/>
  <c r="AC16" i="13"/>
  <c r="AB16" i="13"/>
  <c r="BI15" i="13"/>
  <c r="BH15" i="13"/>
  <c r="BC15" i="13"/>
  <c r="BA15" i="13"/>
  <c r="AZ15" i="13"/>
  <c r="AX15" i="13"/>
  <c r="BB15" i="13" s="1"/>
  <c r="AW15" i="13"/>
  <c r="AR15" i="13"/>
  <c r="AV15" i="13" s="1"/>
  <c r="AQ15" i="13"/>
  <c r="AP15" i="13"/>
  <c r="AO15" i="13"/>
  <c r="AN15" i="13"/>
  <c r="AM15" i="13"/>
  <c r="BM15" i="13" s="1"/>
  <c r="AL15" i="13"/>
  <c r="AC15" i="13"/>
  <c r="AB15" i="13"/>
  <c r="BI14" i="13"/>
  <c r="BH14" i="13"/>
  <c r="BC14" i="13"/>
  <c r="BB14" i="13"/>
  <c r="AW14" i="13"/>
  <c r="AV14" i="13"/>
  <c r="AM14" i="13"/>
  <c r="AL14" i="13"/>
  <c r="AC14" i="13"/>
  <c r="AB14" i="13"/>
  <c r="H14" i="13"/>
  <c r="C14" i="13"/>
  <c r="B14" i="13"/>
  <c r="BL14" i="13" s="1"/>
  <c r="BI13" i="13"/>
  <c r="BH13" i="13"/>
  <c r="BC13" i="13"/>
  <c r="BB13" i="13"/>
  <c r="AW13" i="13"/>
  <c r="AV13" i="13"/>
  <c r="AM13" i="13"/>
  <c r="AL13" i="13"/>
  <c r="AC13" i="13"/>
  <c r="AB13" i="13"/>
  <c r="G13" i="13"/>
  <c r="BM13" i="13" s="1"/>
  <c r="F13" i="13"/>
  <c r="F29" i="13" s="1"/>
  <c r="F30" i="13" s="1"/>
  <c r="BK12" i="13"/>
  <c r="BJ12" i="13"/>
  <c r="BG12" i="13"/>
  <c r="BF12" i="13"/>
  <c r="BF29" i="13" s="1"/>
  <c r="BF30" i="13" s="1"/>
  <c r="BE12" i="13"/>
  <c r="BD12" i="13"/>
  <c r="BA12" i="13"/>
  <c r="AZ12" i="13"/>
  <c r="AY12" i="13"/>
  <c r="AX12" i="13"/>
  <c r="AU12" i="13"/>
  <c r="AT12" i="13"/>
  <c r="AT29" i="13" s="1"/>
  <c r="AT30" i="13" s="1"/>
  <c r="AS12" i="13"/>
  <c r="AR12" i="13"/>
  <c r="AQ12" i="13"/>
  <c r="AP12" i="13"/>
  <c r="AP29" i="13" s="1"/>
  <c r="AP30" i="13" s="1"/>
  <c r="AO12" i="13"/>
  <c r="AO29" i="13" s="1"/>
  <c r="AO30" i="13" s="1"/>
  <c r="AN12" i="13"/>
  <c r="AK12" i="13"/>
  <c r="AJ12" i="13"/>
  <c r="AJ29" i="13" s="1"/>
  <c r="AJ30" i="13" s="1"/>
  <c r="AI12" i="13"/>
  <c r="AH12" i="13"/>
  <c r="AH29" i="13" s="1"/>
  <c r="AH30" i="13" s="1"/>
  <c r="AG12" i="13"/>
  <c r="AG29" i="13" s="1"/>
  <c r="AG30" i="13" s="1"/>
  <c r="AF12" i="13"/>
  <c r="AF29" i="13" s="1"/>
  <c r="AF30" i="13" s="1"/>
  <c r="AE12" i="13"/>
  <c r="AD12" i="13"/>
  <c r="AA12" i="13"/>
  <c r="AA29" i="13" s="1"/>
  <c r="AA30" i="13" s="1"/>
  <c r="Z12" i="13"/>
  <c r="Z29" i="13" s="1"/>
  <c r="Z30" i="13" s="1"/>
  <c r="Y12" i="13"/>
  <c r="Y29" i="13" s="1"/>
  <c r="Y30" i="13" s="1"/>
  <c r="X12" i="13"/>
  <c r="W12" i="13"/>
  <c r="W29" i="13" s="1"/>
  <c r="W30" i="13" s="1"/>
  <c r="V12" i="13"/>
  <c r="V29" i="13" s="1"/>
  <c r="V30" i="13" s="1"/>
  <c r="U12" i="13"/>
  <c r="U29" i="13" s="1"/>
  <c r="U30" i="13" s="1"/>
  <c r="T12" i="13"/>
  <c r="S12" i="13"/>
  <c r="S29" i="13" s="1"/>
  <c r="S30" i="13" s="1"/>
  <c r="R12" i="13"/>
  <c r="R29" i="13" s="1"/>
  <c r="R30" i="13" s="1"/>
  <c r="Q12" i="13"/>
  <c r="Q29" i="13" s="1"/>
  <c r="Q30" i="13" s="1"/>
  <c r="P12" i="13"/>
  <c r="P29" i="13" s="1"/>
  <c r="P30" i="13" s="1"/>
  <c r="O12" i="13"/>
  <c r="AC12" i="13" s="1"/>
  <c r="N12" i="13"/>
  <c r="AB12" i="13" s="1"/>
  <c r="K12" i="13"/>
  <c r="K29" i="13" s="1"/>
  <c r="K30" i="13" s="1"/>
  <c r="J12" i="13"/>
  <c r="I12" i="13"/>
  <c r="I29" i="13" s="1"/>
  <c r="I30" i="13" s="1"/>
  <c r="H12" i="13"/>
  <c r="H29" i="13" s="1"/>
  <c r="H30" i="13" s="1"/>
  <c r="G12" i="13"/>
  <c r="F12" i="13"/>
  <c r="C12" i="13"/>
  <c r="B12" i="13"/>
  <c r="BI11" i="13"/>
  <c r="BH11" i="13"/>
  <c r="BC11" i="13"/>
  <c r="BB11" i="13"/>
  <c r="AW11" i="13"/>
  <c r="AV11" i="13"/>
  <c r="AM11" i="13"/>
  <c r="BM11" i="13" s="1"/>
  <c r="AL11" i="13"/>
  <c r="AC11" i="13"/>
  <c r="AB11" i="13"/>
  <c r="D11" i="13"/>
  <c r="BI10" i="13"/>
  <c r="BH10" i="13"/>
  <c r="BC10" i="13"/>
  <c r="BB10" i="13"/>
  <c r="AW10" i="13"/>
  <c r="AV10" i="13"/>
  <c r="AM10" i="13"/>
  <c r="AL10" i="13"/>
  <c r="AC10" i="13"/>
  <c r="AB10" i="13"/>
  <c r="E10" i="13"/>
  <c r="BM10" i="13" s="1"/>
  <c r="D10" i="13"/>
  <c r="BI9" i="13"/>
  <c r="BH9" i="13"/>
  <c r="BC9" i="13"/>
  <c r="BB9" i="13"/>
  <c r="AW9" i="13"/>
  <c r="AV9" i="13"/>
  <c r="AM9" i="13"/>
  <c r="AL9" i="13"/>
  <c r="BL9" i="13" s="1"/>
  <c r="AC9" i="13"/>
  <c r="AB9" i="13"/>
  <c r="BI8" i="13"/>
  <c r="BH8" i="13"/>
  <c r="BC8" i="13"/>
  <c r="BB8" i="13"/>
  <c r="AW8" i="13"/>
  <c r="AV8" i="13"/>
  <c r="AE8" i="13"/>
  <c r="AD8" i="13"/>
  <c r="AD29" i="13" s="1"/>
  <c r="AB8" i="13"/>
  <c r="O8" i="13"/>
  <c r="N8" i="13"/>
  <c r="B61" i="2"/>
  <c r="B47" i="2"/>
  <c r="B109" i="2"/>
  <c r="B103" i="2"/>
  <c r="B96" i="2"/>
  <c r="B90" i="2"/>
  <c r="B88" i="1" s="1"/>
  <c r="B92" i="1" s="1"/>
  <c r="B84" i="2"/>
  <c r="B76" i="2"/>
  <c r="B70" i="2"/>
  <c r="B65" i="2"/>
  <c r="B51" i="2"/>
  <c r="B46" i="2"/>
  <c r="B34" i="2"/>
  <c r="B15" i="2"/>
  <c r="B13" i="2"/>
  <c r="B9" i="2"/>
  <c r="C8" i="1"/>
  <c r="C98" i="1"/>
  <c r="P98" i="1" s="1"/>
  <c r="C96" i="1"/>
  <c r="C88" i="1"/>
  <c r="C91" i="1"/>
  <c r="P91" i="1" s="1"/>
  <c r="C85" i="1"/>
  <c r="C82" i="1"/>
  <c r="C83" i="1"/>
  <c r="C79" i="1"/>
  <c r="C78" i="1"/>
  <c r="C54" i="1"/>
  <c r="P54" i="1" s="1"/>
  <c r="C53" i="1"/>
  <c r="C49" i="1"/>
  <c r="C45" i="1"/>
  <c r="C47" i="1" s="1"/>
  <c r="C42" i="1"/>
  <c r="P42" i="1" s="1"/>
  <c r="C41" i="1"/>
  <c r="P41" i="1" s="1"/>
  <c r="C40" i="1"/>
  <c r="P40" i="1" s="1"/>
  <c r="C37" i="1"/>
  <c r="C39" i="1"/>
  <c r="P39" i="1" s="1"/>
  <c r="C38" i="1"/>
  <c r="P38" i="1" s="1"/>
  <c r="C34" i="1"/>
  <c r="CB112" i="14" l="1"/>
  <c r="BZ113" i="14"/>
  <c r="CF113" i="14"/>
  <c r="CL113" i="14"/>
  <c r="DJ113" i="14"/>
  <c r="I112" i="14"/>
  <c r="G113" i="14"/>
  <c r="H112" i="14"/>
  <c r="Y113" i="14"/>
  <c r="AY113" i="14"/>
  <c r="BA113" i="14" s="1"/>
  <c r="BH112" i="14"/>
  <c r="BF113" i="14"/>
  <c r="BR112" i="14"/>
  <c r="X113" i="14"/>
  <c r="DT76" i="14"/>
  <c r="DU76" i="14"/>
  <c r="D113" i="14"/>
  <c r="AF112" i="14"/>
  <c r="AD113" i="14"/>
  <c r="AF113" i="14" s="1"/>
  <c r="DE113" i="14"/>
  <c r="DK113" i="14"/>
  <c r="DM113" i="14" s="1"/>
  <c r="CR113" i="14"/>
  <c r="CX113" i="14"/>
  <c r="DD113" i="14"/>
  <c r="L112" i="14"/>
  <c r="J113" i="14"/>
  <c r="L113" i="14" s="1"/>
  <c r="DU68" i="14"/>
  <c r="CS113" i="14"/>
  <c r="CY113" i="14"/>
  <c r="DA113" i="14" s="1"/>
  <c r="CZ111" i="14"/>
  <c r="CJ113" i="14"/>
  <c r="CC112" i="14"/>
  <c r="CA113" i="14"/>
  <c r="CC113" i="14" s="1"/>
  <c r="E113" i="14"/>
  <c r="CG113" i="14"/>
  <c r="CM113" i="14"/>
  <c r="CO113" i="14" s="1"/>
  <c r="AZ111" i="14"/>
  <c r="DR111" i="14"/>
  <c r="DT111" i="14" s="1"/>
  <c r="BP112" i="14"/>
  <c r="BN113" i="14"/>
  <c r="BP113" i="14" s="1"/>
  <c r="CW112" i="14"/>
  <c r="CU113" i="14"/>
  <c r="CV112" i="14"/>
  <c r="AN112" i="14"/>
  <c r="AL113" i="14"/>
  <c r="AN113" i="14" s="1"/>
  <c r="CY112" i="14"/>
  <c r="DA112" i="14" s="1"/>
  <c r="BE112" i="14"/>
  <c r="BS112" i="14"/>
  <c r="BU112" i="14" s="1"/>
  <c r="BC113" i="14"/>
  <c r="BD112" i="14"/>
  <c r="P113" i="14"/>
  <c r="AB112" i="14"/>
  <c r="Z113" i="14"/>
  <c r="AX112" i="14"/>
  <c r="B46" i="1"/>
  <c r="B47" i="1" s="1"/>
  <c r="B51" i="1" s="1"/>
  <c r="F106" i="1"/>
  <c r="F108" i="1" s="1"/>
  <c r="C57" i="1"/>
  <c r="P37" i="1"/>
  <c r="C43" i="1"/>
  <c r="C51" i="1" s="1"/>
  <c r="P43" i="1"/>
  <c r="C86" i="1"/>
  <c r="C99" i="1"/>
  <c r="C80" i="1"/>
  <c r="P45" i="1"/>
  <c r="C92" i="1"/>
  <c r="B112" i="5"/>
  <c r="AD35" i="13"/>
  <c r="AL33" i="13"/>
  <c r="BL33" i="13" s="1"/>
  <c r="G69" i="13"/>
  <c r="BL10" i="13"/>
  <c r="D12" i="13"/>
  <c r="BA29" i="13"/>
  <c r="BA30" i="13" s="1"/>
  <c r="BM27" i="13"/>
  <c r="AZ26" i="13"/>
  <c r="BB23" i="13"/>
  <c r="G35" i="13"/>
  <c r="BO30" i="13"/>
  <c r="BD21" i="13"/>
  <c r="BH21" i="13" s="1"/>
  <c r="AK29" i="13"/>
  <c r="AK30" i="13" s="1"/>
  <c r="BB33" i="13"/>
  <c r="C52" i="13"/>
  <c r="AG52" i="13"/>
  <c r="AG131" i="13" s="1"/>
  <c r="AG132" i="13" s="1"/>
  <c r="AG133" i="13" s="1"/>
  <c r="AK52" i="13"/>
  <c r="AK131" i="13" s="1"/>
  <c r="AK132" i="13" s="1"/>
  <c r="AK133" i="13" s="1"/>
  <c r="AC44" i="13"/>
  <c r="AQ52" i="13"/>
  <c r="AQ131" i="13" s="1"/>
  <c r="AY52" i="13"/>
  <c r="E69" i="13"/>
  <c r="AB54" i="13"/>
  <c r="AL54" i="13"/>
  <c r="BH54" i="13"/>
  <c r="AH59" i="13"/>
  <c r="AC63" i="13"/>
  <c r="AM60" i="13"/>
  <c r="U69" i="13"/>
  <c r="AK69" i="13"/>
  <c r="BI73" i="13"/>
  <c r="BE74" i="13"/>
  <c r="BI74" i="13" s="1"/>
  <c r="BL109" i="13"/>
  <c r="AE118" i="13"/>
  <c r="AM118" i="13" s="1"/>
  <c r="AE124" i="13"/>
  <c r="AM124" i="13" s="1"/>
  <c r="AM121" i="13"/>
  <c r="BM121" i="13" s="1"/>
  <c r="BO121" i="13" s="1"/>
  <c r="AP52" i="13"/>
  <c r="G48" i="13"/>
  <c r="AL48" i="13"/>
  <c r="N29" i="13"/>
  <c r="N30" i="13" s="1"/>
  <c r="AE29" i="13"/>
  <c r="AE30" i="13" s="1"/>
  <c r="AL12" i="13"/>
  <c r="BL12" i="13" s="1"/>
  <c r="AN29" i="13"/>
  <c r="AN30" i="13" s="1"/>
  <c r="AR29" i="13"/>
  <c r="AX29" i="13"/>
  <c r="BJ29" i="13"/>
  <c r="BJ30" i="13" s="1"/>
  <c r="BM14" i="13"/>
  <c r="BL17" i="13"/>
  <c r="BM19" i="13"/>
  <c r="BH19" i="13"/>
  <c r="AB21" i="13"/>
  <c r="AL21" i="13"/>
  <c r="AV21" i="13"/>
  <c r="BL21" i="13" s="1"/>
  <c r="BB21" i="13"/>
  <c r="BL24" i="13"/>
  <c r="AL26" i="13"/>
  <c r="AV26" i="13"/>
  <c r="BB26" i="13"/>
  <c r="BL27" i="13"/>
  <c r="BM28" i="13"/>
  <c r="AO52" i="13"/>
  <c r="B35" i="13"/>
  <c r="B52" i="13" s="1"/>
  <c r="AS52" i="13"/>
  <c r="BF52" i="13"/>
  <c r="BM36" i="13"/>
  <c r="BM37" i="13"/>
  <c r="BM38" i="13"/>
  <c r="AC43" i="13"/>
  <c r="AM43" i="13"/>
  <c r="AW43" i="13"/>
  <c r="BC43" i="13"/>
  <c r="BI43" i="13"/>
  <c r="AL44" i="13"/>
  <c r="BL44" i="13" s="1"/>
  <c r="AV48" i="13"/>
  <c r="BL47" i="13"/>
  <c r="B59" i="13"/>
  <c r="F59" i="13"/>
  <c r="F69" i="13" s="1"/>
  <c r="F131" i="13" s="1"/>
  <c r="F132" i="13" s="1"/>
  <c r="F133" i="13" s="1"/>
  <c r="AN59" i="13"/>
  <c r="AN69" i="13" s="1"/>
  <c r="AZ69" i="13"/>
  <c r="AB56" i="13"/>
  <c r="I69" i="13"/>
  <c r="I131" i="13" s="1"/>
  <c r="I132" i="13" s="1"/>
  <c r="I133" i="13" s="1"/>
  <c r="W69" i="13"/>
  <c r="W131" i="13" s="1"/>
  <c r="W132" i="13" s="1"/>
  <c r="W133" i="13" s="1"/>
  <c r="AW59" i="13"/>
  <c r="AY69" i="13"/>
  <c r="AG69" i="13"/>
  <c r="AW63" i="13"/>
  <c r="AM68" i="13"/>
  <c r="AM65" i="13"/>
  <c r="BM65" i="13" s="1"/>
  <c r="AP68" i="13"/>
  <c r="AP69" i="13" s="1"/>
  <c r="AM79" i="13"/>
  <c r="AW79" i="13"/>
  <c r="BC78" i="13"/>
  <c r="AY79" i="13"/>
  <c r="BC79" i="13" s="1"/>
  <c r="BE79" i="13"/>
  <c r="BI78" i="13"/>
  <c r="AM83" i="13"/>
  <c r="AE84" i="13"/>
  <c r="AW84" i="13"/>
  <c r="BC83" i="13"/>
  <c r="AY84" i="13"/>
  <c r="BC84" i="13" s="1"/>
  <c r="BM87" i="13"/>
  <c r="AC91" i="13"/>
  <c r="BM94" i="13"/>
  <c r="AV97" i="13"/>
  <c r="BA98" i="13"/>
  <c r="BM101" i="13"/>
  <c r="BC104" i="13"/>
  <c r="BL106" i="13"/>
  <c r="BL116" i="13"/>
  <c r="AH124" i="13"/>
  <c r="AL124" i="13" s="1"/>
  <c r="AL121" i="13"/>
  <c r="BI129" i="13"/>
  <c r="AL63" i="13"/>
  <c r="AV73" i="13"/>
  <c r="AR74" i="13"/>
  <c r="O79" i="13"/>
  <c r="AC79" i="13" s="1"/>
  <c r="BM79" i="13" s="1"/>
  <c r="AC78" i="13"/>
  <c r="O29" i="13"/>
  <c r="AL8" i="13"/>
  <c r="BL8" i="13" s="1"/>
  <c r="BM9" i="13"/>
  <c r="BL11" i="13"/>
  <c r="G29" i="13"/>
  <c r="G30" i="13" s="1"/>
  <c r="AM12" i="13"/>
  <c r="AW12" i="13"/>
  <c r="BI12" i="13"/>
  <c r="BM16" i="13"/>
  <c r="BM17" i="13"/>
  <c r="AM21" i="13"/>
  <c r="AW21" i="13"/>
  <c r="BC21" i="13"/>
  <c r="BL22" i="13"/>
  <c r="BM23" i="13"/>
  <c r="AC26" i="13"/>
  <c r="BM26" i="13" s="1"/>
  <c r="AM26" i="13"/>
  <c r="AW26" i="13"/>
  <c r="BC26" i="13"/>
  <c r="F52" i="13"/>
  <c r="AB33" i="13"/>
  <c r="BM34" i="13"/>
  <c r="AT52" i="13"/>
  <c r="AT131" i="13" s="1"/>
  <c r="AT132" i="13" s="1"/>
  <c r="AT133" i="13" s="1"/>
  <c r="BL38" i="13"/>
  <c r="BL39" i="13"/>
  <c r="D43" i="13"/>
  <c r="BL42" i="13"/>
  <c r="AB43" i="13"/>
  <c r="BL43" i="13" s="1"/>
  <c r="AM48" i="13"/>
  <c r="BM47" i="13"/>
  <c r="BI48" i="13"/>
  <c r="AB49" i="13"/>
  <c r="BL51" i="13"/>
  <c r="BM51" i="13"/>
  <c r="P59" i="13"/>
  <c r="X59" i="13"/>
  <c r="X69" i="13" s="1"/>
  <c r="X131" i="13" s="1"/>
  <c r="X132" i="13" s="1"/>
  <c r="X133" i="13" s="1"/>
  <c r="AF59" i="13"/>
  <c r="BL55" i="13"/>
  <c r="AL56" i="13"/>
  <c r="S69" i="13"/>
  <c r="S131" i="13" s="1"/>
  <c r="S132" i="13" s="1"/>
  <c r="S133" i="13" s="1"/>
  <c r="AI69" i="13"/>
  <c r="AI131" i="13" s="1"/>
  <c r="AT69" i="13"/>
  <c r="BD69" i="13"/>
  <c r="BJ69" i="13"/>
  <c r="BM62" i="13"/>
  <c r="Q69" i="13"/>
  <c r="BM64" i="13"/>
  <c r="AH68" i="13"/>
  <c r="BC68" i="13"/>
  <c r="BL70" i="13"/>
  <c r="AZ104" i="13"/>
  <c r="BB100" i="13"/>
  <c r="AB111" i="13"/>
  <c r="AH111" i="13"/>
  <c r="AL111" i="13" s="1"/>
  <c r="E118" i="13"/>
  <c r="BM114" i="13"/>
  <c r="BD118" i="13"/>
  <c r="BH118" i="13" s="1"/>
  <c r="BH115" i="13"/>
  <c r="AN124" i="13"/>
  <c r="BL123" i="13"/>
  <c r="AW129" i="13"/>
  <c r="BI63" i="13"/>
  <c r="G68" i="13"/>
  <c r="B68" i="13"/>
  <c r="N68" i="13"/>
  <c r="T68" i="13"/>
  <c r="AJ68" i="13"/>
  <c r="AJ69" i="13" s="1"/>
  <c r="V68" i="13"/>
  <c r="V69" i="13" s="1"/>
  <c r="BF68" i="13"/>
  <c r="BF69" i="13" s="1"/>
  <c r="BH69" i="13" s="1"/>
  <c r="BB68" i="13"/>
  <c r="AV74" i="13"/>
  <c r="BM77" i="13"/>
  <c r="BL80" i="13"/>
  <c r="BM82" i="13"/>
  <c r="H90" i="13"/>
  <c r="H91" i="13" s="1"/>
  <c r="H131" i="13" s="1"/>
  <c r="H132" i="13" s="1"/>
  <c r="H133" i="13" s="1"/>
  <c r="BL89" i="13"/>
  <c r="AM90" i="13"/>
  <c r="AW91" i="13"/>
  <c r="BC91" i="13"/>
  <c r="AE91" i="13"/>
  <c r="AM91" i="13" s="1"/>
  <c r="G98" i="13"/>
  <c r="BL96" i="13"/>
  <c r="AL97" i="13"/>
  <c r="AD98" i="13"/>
  <c r="AL98" i="13" s="1"/>
  <c r="AN104" i="13"/>
  <c r="BM102" i="13"/>
  <c r="AH104" i="13"/>
  <c r="G118" i="13"/>
  <c r="AZ118" i="13"/>
  <c r="BL114" i="13"/>
  <c r="BM116" i="13"/>
  <c r="BM117" i="13"/>
  <c r="BL120" i="13"/>
  <c r="B124" i="13"/>
  <c r="F124" i="13"/>
  <c r="O124" i="13"/>
  <c r="AC124" i="13" s="1"/>
  <c r="AC121" i="13"/>
  <c r="BL122" i="13"/>
  <c r="BI124" i="13"/>
  <c r="BM126" i="13"/>
  <c r="AM129" i="13"/>
  <c r="AW128" i="13"/>
  <c r="BM130" i="13"/>
  <c r="BL77" i="13"/>
  <c r="BH78" i="13"/>
  <c r="BM81" i="13"/>
  <c r="AV84" i="13"/>
  <c r="BH84" i="13"/>
  <c r="BL85" i="13"/>
  <c r="BL87" i="13"/>
  <c r="BM89" i="13"/>
  <c r="BM92" i="13"/>
  <c r="AV92" i="13"/>
  <c r="BL93" i="13"/>
  <c r="AZ98" i="13"/>
  <c r="BL95" i="13"/>
  <c r="D98" i="13"/>
  <c r="AM98" i="13"/>
  <c r="AC98" i="13"/>
  <c r="BC98" i="13"/>
  <c r="AP104" i="13"/>
  <c r="N104" i="13"/>
  <c r="AB103" i="13"/>
  <c r="AL103" i="13"/>
  <c r="BL103" i="13" s="1"/>
  <c r="BB103" i="13"/>
  <c r="BL105" i="13"/>
  <c r="BM106" i="13"/>
  <c r="AC111" i="13"/>
  <c r="AW111" i="13"/>
  <c r="BC111" i="13"/>
  <c r="AD118" i="13"/>
  <c r="AL118" i="13" s="1"/>
  <c r="G124" i="13"/>
  <c r="BC124" i="13"/>
  <c r="BL125" i="13"/>
  <c r="BM127" i="13"/>
  <c r="AB129" i="13"/>
  <c r="BL130" i="13"/>
  <c r="O30" i="13"/>
  <c r="AC29" i="13"/>
  <c r="BM21" i="13"/>
  <c r="AB29" i="13"/>
  <c r="AX30" i="13"/>
  <c r="R132" i="13"/>
  <c r="R133" i="13" s="1"/>
  <c r="B29" i="13"/>
  <c r="AD30" i="13"/>
  <c r="AL29" i="13"/>
  <c r="D29" i="13"/>
  <c r="D30" i="13" s="1"/>
  <c r="BL15" i="13"/>
  <c r="BL26" i="13"/>
  <c r="B63" i="13"/>
  <c r="BL74" i="13"/>
  <c r="B84" i="13"/>
  <c r="AB83" i="13"/>
  <c r="E12" i="13"/>
  <c r="E29" i="13" s="1"/>
  <c r="E30" i="13" s="1"/>
  <c r="AI29" i="13"/>
  <c r="AI30" i="13" s="1"/>
  <c r="AQ29" i="13"/>
  <c r="AQ30" i="13" s="1"/>
  <c r="AU29" i="13"/>
  <c r="AU30" i="13" s="1"/>
  <c r="AY29" i="13"/>
  <c r="BC12" i="13"/>
  <c r="BG29" i="13"/>
  <c r="BG30" i="13" s="1"/>
  <c r="BK29" i="13"/>
  <c r="BK30" i="13" s="1"/>
  <c r="BK132" i="13" s="1"/>
  <c r="BK133" i="13" s="1"/>
  <c r="BB19" i="13"/>
  <c r="BM24" i="13"/>
  <c r="BL25" i="13"/>
  <c r="C29" i="13"/>
  <c r="AD52" i="13"/>
  <c r="AL35" i="13"/>
  <c r="D52" i="13"/>
  <c r="U131" i="13"/>
  <c r="U132" i="13" s="1"/>
  <c r="U133" i="13" s="1"/>
  <c r="Y131" i="13"/>
  <c r="Y132" i="13" s="1"/>
  <c r="Y133" i="13" s="1"/>
  <c r="AJ52" i="13"/>
  <c r="BL40" i="13"/>
  <c r="N48" i="13"/>
  <c r="AB48" i="13" s="1"/>
  <c r="BL49" i="13"/>
  <c r="AL49" i="13"/>
  <c r="T59" i="13"/>
  <c r="T69" i="13" s="1"/>
  <c r="AD59" i="13"/>
  <c r="BB59" i="13"/>
  <c r="BG69" i="13"/>
  <c r="AM63" i="13"/>
  <c r="BM61" i="13"/>
  <c r="AL65" i="13"/>
  <c r="BL65" i="13" s="1"/>
  <c r="AF68" i="13"/>
  <c r="BM66" i="13"/>
  <c r="BB73" i="13"/>
  <c r="AC74" i="13"/>
  <c r="BH74" i="13"/>
  <c r="BB12" i="13"/>
  <c r="AS29" i="13"/>
  <c r="AB35" i="13"/>
  <c r="AR68" i="13"/>
  <c r="AV68" i="13" s="1"/>
  <c r="AV65" i="13"/>
  <c r="BE69" i="13"/>
  <c r="BI69" i="13" s="1"/>
  <c r="AC8" i="13"/>
  <c r="AM8" i="13"/>
  <c r="AV29" i="13"/>
  <c r="AV12" i="13"/>
  <c r="AZ29" i="13"/>
  <c r="AZ30" i="13" s="1"/>
  <c r="BD29" i="13"/>
  <c r="BH12" i="13"/>
  <c r="BE29" i="13"/>
  <c r="AE35" i="13"/>
  <c r="AM33" i="13"/>
  <c r="J52" i="13"/>
  <c r="R52" i="13"/>
  <c r="R131" i="13" s="1"/>
  <c r="V52" i="13"/>
  <c r="Z52" i="13"/>
  <c r="AV52" i="13"/>
  <c r="AV35" i="13"/>
  <c r="BH52" i="13"/>
  <c r="BH35" i="13"/>
  <c r="BL36" i="13"/>
  <c r="BL41" i="13"/>
  <c r="AA131" i="13"/>
  <c r="AA132" i="13" s="1"/>
  <c r="AA133" i="13" s="1"/>
  <c r="BG131" i="13"/>
  <c r="B69" i="13"/>
  <c r="AV59" i="13"/>
  <c r="AU69" i="13"/>
  <c r="AW69" i="13" s="1"/>
  <c r="AR63" i="13"/>
  <c r="AV63" i="13" s="1"/>
  <c r="AV60" i="13"/>
  <c r="BA63" i="13"/>
  <c r="BC63" i="13" s="1"/>
  <c r="AB68" i="13"/>
  <c r="AB65" i="13"/>
  <c r="AW68" i="13"/>
  <c r="BM68" i="13" s="1"/>
  <c r="BH68" i="13"/>
  <c r="N74" i="13"/>
  <c r="AB74" i="13" s="1"/>
  <c r="AB73" i="13"/>
  <c r="BH73" i="13"/>
  <c r="BL13" i="13"/>
  <c r="BB35" i="13"/>
  <c r="AL73" i="13"/>
  <c r="AV79" i="13"/>
  <c r="BH23" i="13"/>
  <c r="AR30" i="13"/>
  <c r="AO131" i="13"/>
  <c r="AO132" i="13" s="1"/>
  <c r="AO133" i="13" s="1"/>
  <c r="BA52" i="13"/>
  <c r="BC32" i="13"/>
  <c r="BM32" i="13" s="1"/>
  <c r="O35" i="13"/>
  <c r="AC35" i="13" s="1"/>
  <c r="AC33" i="13"/>
  <c r="BM33" i="13" s="1"/>
  <c r="BL34" i="13"/>
  <c r="K131" i="13"/>
  <c r="K132" i="13" s="1"/>
  <c r="K133" i="13" s="1"/>
  <c r="AH52" i="13"/>
  <c r="AW52" i="13"/>
  <c r="BE131" i="13"/>
  <c r="BI52" i="13"/>
  <c r="BJ52" i="13"/>
  <c r="AV43" i="13"/>
  <c r="BL46" i="13"/>
  <c r="BM48" i="13"/>
  <c r="AX48" i="13"/>
  <c r="BB48" i="13" s="1"/>
  <c r="BH48" i="13"/>
  <c r="BM50" i="13"/>
  <c r="AV50" i="13"/>
  <c r="BL50" i="13" s="1"/>
  <c r="C59" i="13"/>
  <c r="P69" i="13"/>
  <c r="P131" i="13" s="1"/>
  <c r="P132" i="13" s="1"/>
  <c r="P133" i="13" s="1"/>
  <c r="AF69" i="13"/>
  <c r="AF131" i="13" s="1"/>
  <c r="AF132" i="13" s="1"/>
  <c r="AF133" i="13" s="1"/>
  <c r="BA59" i="13"/>
  <c r="BC54" i="13"/>
  <c r="BM54" i="13" s="1"/>
  <c r="BM56" i="13"/>
  <c r="BM58" i="13"/>
  <c r="D69" i="13"/>
  <c r="AB59" i="13"/>
  <c r="Z69" i="13"/>
  <c r="AX69" i="13"/>
  <c r="BB69" i="13" s="1"/>
  <c r="AB60" i="13"/>
  <c r="BL60" i="13" s="1"/>
  <c r="AC60" i="13"/>
  <c r="BL62" i="13"/>
  <c r="BH63" i="13"/>
  <c r="BL64" i="13"/>
  <c r="AB66" i="13"/>
  <c r="AD68" i="13"/>
  <c r="AL66" i="13"/>
  <c r="BL66" i="13" s="1"/>
  <c r="BI68" i="13"/>
  <c r="AL84" i="13"/>
  <c r="BB84" i="13"/>
  <c r="BM86" i="13"/>
  <c r="B91" i="13"/>
  <c r="BL112" i="13"/>
  <c r="B118" i="13"/>
  <c r="BL32" i="13"/>
  <c r="AW35" i="13"/>
  <c r="BI35" i="13"/>
  <c r="E43" i="13"/>
  <c r="E52" i="13" s="1"/>
  <c r="BM44" i="13"/>
  <c r="BB54" i="13"/>
  <c r="O59" i="13"/>
  <c r="AE59" i="13"/>
  <c r="BB60" i="13"/>
  <c r="N63" i="13"/>
  <c r="AB63" i="13" s="1"/>
  <c r="AM74" i="13"/>
  <c r="AM73" i="13"/>
  <c r="BC74" i="13"/>
  <c r="BC73" i="13"/>
  <c r="C74" i="13"/>
  <c r="Q74" i="13"/>
  <c r="AL79" i="13"/>
  <c r="AL78" i="13"/>
  <c r="BI79" i="13"/>
  <c r="C84" i="13"/>
  <c r="Q84" i="13"/>
  <c r="AC84" i="13" s="1"/>
  <c r="AC83" i="13"/>
  <c r="AL83" i="13"/>
  <c r="AV83" i="13"/>
  <c r="BM88" i="13"/>
  <c r="C90" i="13"/>
  <c r="C91" i="13" s="1"/>
  <c r="BM91" i="13" s="1"/>
  <c r="B104" i="13"/>
  <c r="BM99" i="13"/>
  <c r="G104" i="13"/>
  <c r="BL54" i="13"/>
  <c r="BH59" i="13"/>
  <c r="AL60" i="13"/>
  <c r="AS74" i="13"/>
  <c r="AW74" i="13" s="1"/>
  <c r="N79" i="13"/>
  <c r="AB79" i="13" s="1"/>
  <c r="AB78" i="13"/>
  <c r="AM78" i="13"/>
  <c r="AV78" i="13"/>
  <c r="AW78" i="13"/>
  <c r="BB83" i="13"/>
  <c r="BH83" i="13"/>
  <c r="AB84" i="13"/>
  <c r="AL90" i="13"/>
  <c r="AV90" i="13"/>
  <c r="AB97" i="13"/>
  <c r="N98" i="13"/>
  <c r="AB98" i="13" s="1"/>
  <c r="BB79" i="13"/>
  <c r="BB78" i="13"/>
  <c r="AM84" i="13"/>
  <c r="BH90" i="13"/>
  <c r="AL91" i="13"/>
  <c r="E98" i="13"/>
  <c r="BM98" i="13" s="1"/>
  <c r="BM96" i="13"/>
  <c r="AH118" i="13"/>
  <c r="AL117" i="13"/>
  <c r="BL117" i="13" s="1"/>
  <c r="AW83" i="13"/>
  <c r="BI83" i="13"/>
  <c r="BL88" i="13"/>
  <c r="AC90" i="13"/>
  <c r="AW90" i="13"/>
  <c r="BI91" i="13"/>
  <c r="BI90" i="13"/>
  <c r="BM97" i="13"/>
  <c r="AX104" i="13"/>
  <c r="BB104" i="13" s="1"/>
  <c r="BB99" i="13"/>
  <c r="AB104" i="13"/>
  <c r="BM100" i="13"/>
  <c r="AT104" i="13"/>
  <c r="AV104" i="13" s="1"/>
  <c r="AV100" i="13"/>
  <c r="AE111" i="13"/>
  <c r="AM111" i="13" s="1"/>
  <c r="AZ111" i="13"/>
  <c r="BB111" i="13" s="1"/>
  <c r="BB107" i="13"/>
  <c r="BL115" i="13"/>
  <c r="V90" i="13"/>
  <c r="BB91" i="13"/>
  <c r="BB90" i="13"/>
  <c r="F98" i="13"/>
  <c r="BL94" i="13"/>
  <c r="BH98" i="13"/>
  <c r="AB99" i="13"/>
  <c r="AL104" i="13"/>
  <c r="BL100" i="13"/>
  <c r="BD104" i="13"/>
  <c r="BH104" i="13" s="1"/>
  <c r="D104" i="13"/>
  <c r="AE104" i="13"/>
  <c r="AM104" i="13" s="1"/>
  <c r="AR111" i="13"/>
  <c r="AV111" i="13" s="1"/>
  <c r="AV107" i="13"/>
  <c r="BM107" i="13"/>
  <c r="N118" i="13"/>
  <c r="AB118" i="13" s="1"/>
  <c r="AR118" i="13"/>
  <c r="AV118" i="13" s="1"/>
  <c r="BC90" i="13"/>
  <c r="BB92" i="13"/>
  <c r="BL92" i="13" s="1"/>
  <c r="AN98" i="13"/>
  <c r="AX98" i="13"/>
  <c r="BL102" i="13"/>
  <c r="AC104" i="13"/>
  <c r="AW104" i="13"/>
  <c r="BI104" i="13"/>
  <c r="BH111" i="13"/>
  <c r="O118" i="13"/>
  <c r="AC118" i="13" s="1"/>
  <c r="BM118" i="13" s="1"/>
  <c r="AY129" i="13"/>
  <c r="BC129" i="13" s="1"/>
  <c r="BC128" i="13"/>
  <c r="AL99" i="13"/>
  <c r="BH107" i="13"/>
  <c r="AC112" i="13"/>
  <c r="AM112" i="13"/>
  <c r="AX118" i="13"/>
  <c r="BB118" i="13" s="1"/>
  <c r="BC112" i="13"/>
  <c r="AW118" i="13"/>
  <c r="BC118" i="13"/>
  <c r="C124" i="13"/>
  <c r="BM124" i="13" s="1"/>
  <c r="AB121" i="13"/>
  <c r="BL121" i="13" s="1"/>
  <c r="T124" i="13"/>
  <c r="AB124" i="13" s="1"/>
  <c r="BL124" i="13" s="1"/>
  <c r="AV124" i="13"/>
  <c r="AX124" i="13"/>
  <c r="BB124" i="13" s="1"/>
  <c r="BH124" i="13"/>
  <c r="O129" i="13"/>
  <c r="AC129" i="13" s="1"/>
  <c r="AC128" i="13"/>
  <c r="BI128" i="13"/>
  <c r="AB107" i="13"/>
  <c r="J124" i="13"/>
  <c r="BM122" i="13"/>
  <c r="BO122" i="13" s="1"/>
  <c r="AM128" i="13"/>
  <c r="BL127" i="13"/>
  <c r="B128" i="13"/>
  <c r="AB128" i="13"/>
  <c r="AV128" i="13"/>
  <c r="BH128" i="13"/>
  <c r="AD129" i="13"/>
  <c r="AL129" i="13" s="1"/>
  <c r="AX129" i="13"/>
  <c r="BB129" i="13" s="1"/>
  <c r="AV121" i="13"/>
  <c r="B55" i="2"/>
  <c r="B71" i="2"/>
  <c r="BH113" i="14" l="1"/>
  <c r="BR113" i="14"/>
  <c r="AZ112" i="14"/>
  <c r="DR112" i="14"/>
  <c r="DT112" i="14" s="1"/>
  <c r="CW113" i="14"/>
  <c r="CV113" i="14"/>
  <c r="DS112" i="14"/>
  <c r="DU112" i="14" s="1"/>
  <c r="I113" i="14"/>
  <c r="H113" i="14"/>
  <c r="AB113" i="14"/>
  <c r="AX113" i="14"/>
  <c r="AZ113" i="14" s="1"/>
  <c r="BE113" i="14"/>
  <c r="BS113" i="14"/>
  <c r="BD113" i="14"/>
  <c r="CZ113" i="14"/>
  <c r="DU111" i="14"/>
  <c r="CB113" i="14"/>
  <c r="CN113" i="14"/>
  <c r="CZ112" i="14"/>
  <c r="BT112" i="14"/>
  <c r="DL113" i="14"/>
  <c r="AP131" i="13"/>
  <c r="AP132" i="13" s="1"/>
  <c r="AP133" i="13" s="1"/>
  <c r="BL79" i="13"/>
  <c r="BM83" i="13"/>
  <c r="BA131" i="13"/>
  <c r="BA132" i="13" s="1"/>
  <c r="BA133" i="13" s="1"/>
  <c r="AI132" i="13"/>
  <c r="AI133" i="13" s="1"/>
  <c r="BL111" i="13"/>
  <c r="AL68" i="13"/>
  <c r="BL68" i="13" s="1"/>
  <c r="BA69" i="13"/>
  <c r="BC69" i="13" s="1"/>
  <c r="BL48" i="13"/>
  <c r="BL19" i="13"/>
  <c r="BM129" i="13"/>
  <c r="BL99" i="13"/>
  <c r="BM78" i="13"/>
  <c r="T131" i="13"/>
  <c r="T132" i="13" s="1"/>
  <c r="T133" i="13" s="1"/>
  <c r="G52" i="13"/>
  <c r="G131" i="13" s="1"/>
  <c r="G132" i="13" s="1"/>
  <c r="G133" i="13" s="1"/>
  <c r="BM112" i="13"/>
  <c r="BB98" i="13"/>
  <c r="BL98" i="13"/>
  <c r="BM111" i="13"/>
  <c r="BL97" i="13"/>
  <c r="AU131" i="13"/>
  <c r="BJ131" i="13"/>
  <c r="BJ132" i="13" s="1"/>
  <c r="BJ133" i="13" s="1"/>
  <c r="BL73" i="13"/>
  <c r="BM8" i="13"/>
  <c r="AM29" i="13"/>
  <c r="BL83" i="13"/>
  <c r="BL56" i="13"/>
  <c r="BF131" i="13"/>
  <c r="BF132" i="13" s="1"/>
  <c r="BF133" i="13" s="1"/>
  <c r="BM128" i="13"/>
  <c r="AN131" i="13"/>
  <c r="AN132" i="13" s="1"/>
  <c r="AN133" i="13" s="1"/>
  <c r="BL78" i="13"/>
  <c r="Q131" i="13"/>
  <c r="Q132" i="13" s="1"/>
  <c r="Q133" i="13" s="1"/>
  <c r="BM73" i="13"/>
  <c r="BC59" i="13"/>
  <c r="BM60" i="13"/>
  <c r="O52" i="13"/>
  <c r="BL23" i="13"/>
  <c r="Z131" i="13"/>
  <c r="Z132" i="13" s="1"/>
  <c r="Z133" i="13" s="1"/>
  <c r="BL35" i="13"/>
  <c r="AJ131" i="13"/>
  <c r="AJ132" i="13" s="1"/>
  <c r="AJ133" i="13" s="1"/>
  <c r="AQ132" i="13"/>
  <c r="AQ133" i="13" s="1"/>
  <c r="AH69" i="13"/>
  <c r="AH131" i="13" s="1"/>
  <c r="AH132" i="13" s="1"/>
  <c r="AH133" i="13" s="1"/>
  <c r="B110" i="2"/>
  <c r="BM63" i="13"/>
  <c r="AS131" i="13"/>
  <c r="AW131" i="13" s="1"/>
  <c r="C30" i="13"/>
  <c r="BC29" i="13"/>
  <c r="AY30" i="13"/>
  <c r="BL118" i="13"/>
  <c r="AC52" i="13"/>
  <c r="BE30" i="13"/>
  <c r="BI29" i="13"/>
  <c r="AZ131" i="13"/>
  <c r="AU132" i="13"/>
  <c r="AU133" i="13" s="1"/>
  <c r="BM12" i="13"/>
  <c r="AB30" i="13"/>
  <c r="AC59" i="13"/>
  <c r="O69" i="13"/>
  <c r="AC69" i="13" s="1"/>
  <c r="AZ132" i="13"/>
  <c r="AZ133" i="13" s="1"/>
  <c r="AD69" i="13"/>
  <c r="AL59" i="13"/>
  <c r="BL59" i="13" s="1"/>
  <c r="B129" i="13"/>
  <c r="BL129" i="13" s="1"/>
  <c r="BL128" i="13"/>
  <c r="BM104" i="13"/>
  <c r="V91" i="13"/>
  <c r="AB91" i="13" s="1"/>
  <c r="BL91" i="13" s="1"/>
  <c r="AB90" i="13"/>
  <c r="BL90" i="13" s="1"/>
  <c r="BL104" i="13"/>
  <c r="BI131" i="13"/>
  <c r="AX52" i="13"/>
  <c r="BD131" i="13"/>
  <c r="BH131" i="13" s="1"/>
  <c r="AM35" i="13"/>
  <c r="BM35" i="13" s="1"/>
  <c r="AE52" i="13"/>
  <c r="AS30" i="13"/>
  <c r="AW29" i="13"/>
  <c r="BM29" i="13" s="1"/>
  <c r="AD131" i="13"/>
  <c r="AL52" i="13"/>
  <c r="BG132" i="13"/>
  <c r="BG133" i="13" s="1"/>
  <c r="BL63" i="13"/>
  <c r="AD132" i="13"/>
  <c r="AL30" i="13"/>
  <c r="BB29" i="13"/>
  <c r="AC30" i="13"/>
  <c r="BM90" i="13"/>
  <c r="N69" i="13"/>
  <c r="AB69" i="13" s="1"/>
  <c r="B131" i="13"/>
  <c r="BL107" i="13"/>
  <c r="BM84" i="13"/>
  <c r="BM74" i="13"/>
  <c r="AE69" i="13"/>
  <c r="AM69" i="13" s="1"/>
  <c r="AM59" i="13"/>
  <c r="BM59" i="13" s="1"/>
  <c r="E131" i="13"/>
  <c r="E132" i="13" s="1"/>
  <c r="E133" i="13" s="1"/>
  <c r="C69" i="13"/>
  <c r="AV30" i="13"/>
  <c r="AY131" i="13"/>
  <c r="AR69" i="13"/>
  <c r="J131" i="13"/>
  <c r="J132" i="13" s="1"/>
  <c r="J133" i="13" s="1"/>
  <c r="N52" i="13"/>
  <c r="BH29" i="13"/>
  <c r="BD30" i="13"/>
  <c r="D131" i="13"/>
  <c r="D132" i="13" s="1"/>
  <c r="D133" i="13" s="1"/>
  <c r="BL84" i="13"/>
  <c r="BM43" i="13"/>
  <c r="BC52" i="13"/>
  <c r="AM30" i="13"/>
  <c r="BL29" i="13"/>
  <c r="B30" i="13"/>
  <c r="BB30" i="13"/>
  <c r="P74" i="1"/>
  <c r="D95" i="1"/>
  <c r="D104" i="1"/>
  <c r="D103" i="1"/>
  <c r="D102" i="1"/>
  <c r="D78" i="1"/>
  <c r="D79" i="1"/>
  <c r="P79" i="1" s="1"/>
  <c r="D94" i="1"/>
  <c r="D49" i="1"/>
  <c r="D88" i="1"/>
  <c r="D97" i="1"/>
  <c r="D96" i="1"/>
  <c r="D50" i="1"/>
  <c r="D83" i="1"/>
  <c r="D85" i="1"/>
  <c r="D30" i="1"/>
  <c r="D32" i="1" s="1"/>
  <c r="D35" i="1"/>
  <c r="P35" i="1" s="1"/>
  <c r="D33" i="1"/>
  <c r="I10" i="4"/>
  <c r="I11" i="4"/>
  <c r="I12" i="4"/>
  <c r="I14" i="4"/>
  <c r="I15" i="4"/>
  <c r="I16" i="4"/>
  <c r="I18" i="4"/>
  <c r="I19" i="4"/>
  <c r="P11" i="1" s="1"/>
  <c r="I9" i="4"/>
  <c r="D53" i="1" s="1"/>
  <c r="D57" i="1" s="1"/>
  <c r="K26" i="5"/>
  <c r="K28" i="5"/>
  <c r="K29" i="5"/>
  <c r="K24" i="5"/>
  <c r="K20" i="5"/>
  <c r="K21" i="5"/>
  <c r="K16" i="5"/>
  <c r="K17" i="5"/>
  <c r="K15" i="5"/>
  <c r="O28" i="5"/>
  <c r="O29" i="5"/>
  <c r="O24" i="5"/>
  <c r="O26" i="5"/>
  <c r="O20" i="5"/>
  <c r="O21" i="5"/>
  <c r="O16" i="5"/>
  <c r="O17" i="5"/>
  <c r="O15" i="5"/>
  <c r="M28" i="5"/>
  <c r="M29" i="5"/>
  <c r="M24" i="5"/>
  <c r="M26" i="5"/>
  <c r="M20" i="5"/>
  <c r="M21" i="5"/>
  <c r="M16" i="5"/>
  <c r="M17" i="5"/>
  <c r="M15" i="5"/>
  <c r="DR113" i="14" l="1"/>
  <c r="BU113" i="14"/>
  <c r="DS113" i="14"/>
  <c r="DU113" i="14" s="1"/>
  <c r="BT113" i="14"/>
  <c r="D51" i="1"/>
  <c r="D92" i="1"/>
  <c r="D86" i="1"/>
  <c r="P83" i="1"/>
  <c r="D99" i="1"/>
  <c r="D80" i="1"/>
  <c r="P78" i="1"/>
  <c r="BC131" i="13"/>
  <c r="AL131" i="13"/>
  <c r="AL69" i="13"/>
  <c r="BL69" i="13"/>
  <c r="N131" i="13"/>
  <c r="AB52" i="13"/>
  <c r="AS132" i="13"/>
  <c r="AW30" i="13"/>
  <c r="BM30" i="13" s="1"/>
  <c r="V131" i="13"/>
  <c r="V132" i="13" s="1"/>
  <c r="V133" i="13" s="1"/>
  <c r="AY132" i="13"/>
  <c r="BC30" i="13"/>
  <c r="BE132" i="13"/>
  <c r="BI30" i="13"/>
  <c r="BD132" i="13"/>
  <c r="BH30" i="13"/>
  <c r="BL30" i="13" s="1"/>
  <c r="AV69" i="13"/>
  <c r="AR131" i="13"/>
  <c r="BM69" i="13"/>
  <c r="C131" i="13"/>
  <c r="C132" i="13" s="1"/>
  <c r="AE131" i="13"/>
  <c r="AM52" i="13"/>
  <c r="BM52" i="13" s="1"/>
  <c r="AX131" i="13"/>
  <c r="BB52" i="13"/>
  <c r="B132" i="13"/>
  <c r="AL132" i="13"/>
  <c r="AD133" i="13"/>
  <c r="AL133" i="13" s="1"/>
  <c r="O131" i="13"/>
  <c r="H104" i="1"/>
  <c r="P104" i="1" s="1"/>
  <c r="H49" i="1"/>
  <c r="C72" i="1"/>
  <c r="D72" i="1"/>
  <c r="H72" i="1"/>
  <c r="I72" i="1"/>
  <c r="J72" i="1"/>
  <c r="K72" i="1"/>
  <c r="L72" i="1"/>
  <c r="M72" i="1"/>
  <c r="N72" i="1"/>
  <c r="O72" i="1"/>
  <c r="E72" i="1"/>
  <c r="H73" i="1"/>
  <c r="P73" i="1" s="1"/>
  <c r="H76" i="1"/>
  <c r="H102" i="1"/>
  <c r="H103" i="1"/>
  <c r="P103" i="1" s="1"/>
  <c r="H97" i="1"/>
  <c r="H96" i="1"/>
  <c r="H94" i="1"/>
  <c r="H48" i="1"/>
  <c r="P48" i="1" s="1"/>
  <c r="H85" i="1"/>
  <c r="H86" i="1" s="1"/>
  <c r="H50" i="1"/>
  <c r="Q27" i="6"/>
  <c r="Q17" i="6"/>
  <c r="H58" i="1" s="1"/>
  <c r="H33" i="1"/>
  <c r="H30" i="1"/>
  <c r="H32" i="1" s="1"/>
  <c r="I88" i="1"/>
  <c r="P88" i="1" s="1"/>
  <c r="I89" i="1"/>
  <c r="P89" i="1" s="1"/>
  <c r="I90" i="1"/>
  <c r="P90" i="1" s="1"/>
  <c r="I307" i="7"/>
  <c r="I50" i="1" s="1"/>
  <c r="I306" i="7"/>
  <c r="I305" i="7"/>
  <c r="I304" i="7"/>
  <c r="I303" i="7"/>
  <c r="I302" i="7"/>
  <c r="I294" i="7"/>
  <c r="I293" i="7"/>
  <c r="I298" i="7" s="1"/>
  <c r="I14" i="7" s="1"/>
  <c r="I289" i="7"/>
  <c r="I281" i="7"/>
  <c r="I12" i="7" s="1"/>
  <c r="I271" i="7"/>
  <c r="I270" i="7"/>
  <c r="I269" i="7"/>
  <c r="I268" i="7"/>
  <c r="G262" i="7"/>
  <c r="E262" i="7"/>
  <c r="D262" i="7"/>
  <c r="G261" i="7"/>
  <c r="E261" i="7"/>
  <c r="D261" i="7"/>
  <c r="G260" i="7"/>
  <c r="E260" i="7"/>
  <c r="D260" i="7"/>
  <c r="G259" i="7"/>
  <c r="E259" i="7"/>
  <c r="D259" i="7"/>
  <c r="G258" i="7"/>
  <c r="E258" i="7"/>
  <c r="D258" i="7"/>
  <c r="G257" i="7"/>
  <c r="E257" i="7"/>
  <c r="D257" i="7"/>
  <c r="G256" i="7"/>
  <c r="E256" i="7"/>
  <c r="D256" i="7"/>
  <c r="G255" i="7"/>
  <c r="E255" i="7"/>
  <c r="D255" i="7"/>
  <c r="G254" i="7"/>
  <c r="E254" i="7"/>
  <c r="D254" i="7"/>
  <c r="I247" i="7"/>
  <c r="I239" i="7"/>
  <c r="I231" i="7"/>
  <c r="H13" i="7" s="1"/>
  <c r="I223" i="7"/>
  <c r="I214" i="7"/>
  <c r="I205" i="7"/>
  <c r="H205" i="7"/>
  <c r="I204" i="7"/>
  <c r="H204" i="7"/>
  <c r="I203" i="7"/>
  <c r="H203" i="7"/>
  <c r="I202" i="7"/>
  <c r="H202" i="7"/>
  <c r="I201" i="7"/>
  <c r="I206" i="7" s="1"/>
  <c r="H10" i="7" s="1"/>
  <c r="H201" i="7"/>
  <c r="I194" i="7"/>
  <c r="I186" i="7"/>
  <c r="I178" i="7"/>
  <c r="G13" i="7" s="1"/>
  <c r="I170" i="7"/>
  <c r="G12" i="7" s="1"/>
  <c r="I161" i="7"/>
  <c r="I152" i="7"/>
  <c r="H152" i="7"/>
  <c r="I151" i="7"/>
  <c r="H151" i="7"/>
  <c r="I150" i="7"/>
  <c r="H150" i="7"/>
  <c r="I149" i="7"/>
  <c r="I153" i="7" s="1"/>
  <c r="G10" i="7" s="1"/>
  <c r="H149" i="7"/>
  <c r="I148" i="7"/>
  <c r="H148" i="7"/>
  <c r="H153" i="7" s="1"/>
  <c r="G9" i="7" s="1"/>
  <c r="I140" i="7"/>
  <c r="I139" i="7"/>
  <c r="I138" i="7"/>
  <c r="I137" i="7"/>
  <c r="I136" i="7"/>
  <c r="I131" i="7"/>
  <c r="I130" i="7"/>
  <c r="I129" i="7"/>
  <c r="I128" i="7"/>
  <c r="I127" i="7"/>
  <c r="I123" i="7"/>
  <c r="F13" i="7" s="1"/>
  <c r="I115" i="7"/>
  <c r="F12" i="7" s="1"/>
  <c r="I105" i="7"/>
  <c r="I104" i="7"/>
  <c r="I103" i="7"/>
  <c r="I102" i="7"/>
  <c r="G96" i="7"/>
  <c r="E96" i="7"/>
  <c r="D96" i="7"/>
  <c r="G95" i="7"/>
  <c r="E95" i="7"/>
  <c r="D95" i="7"/>
  <c r="G94" i="7"/>
  <c r="E94" i="7"/>
  <c r="D94" i="7"/>
  <c r="G93" i="7"/>
  <c r="E93" i="7"/>
  <c r="D93" i="7"/>
  <c r="G92" i="7"/>
  <c r="E92" i="7"/>
  <c r="D92" i="7"/>
  <c r="G91" i="7"/>
  <c r="E91" i="7"/>
  <c r="D91" i="7"/>
  <c r="G90" i="7"/>
  <c r="E90" i="7"/>
  <c r="D90" i="7"/>
  <c r="G89" i="7"/>
  <c r="E89" i="7"/>
  <c r="D89" i="7"/>
  <c r="G88" i="7"/>
  <c r="E88" i="7"/>
  <c r="D88" i="7"/>
  <c r="F85" i="7"/>
  <c r="I80" i="7"/>
  <c r="I79" i="7"/>
  <c r="I78" i="7"/>
  <c r="I77" i="7"/>
  <c r="I76" i="7"/>
  <c r="I71" i="7"/>
  <c r="I70" i="7"/>
  <c r="I69" i="7"/>
  <c r="I68" i="7"/>
  <c r="I72" i="7" s="1"/>
  <c r="E14" i="7" s="1"/>
  <c r="I63" i="7"/>
  <c r="I55" i="7"/>
  <c r="I43" i="7"/>
  <c r="I42" i="7"/>
  <c r="I82" i="1" s="1"/>
  <c r="I41" i="7"/>
  <c r="I40" i="7"/>
  <c r="I39" i="7"/>
  <c r="I85" i="1" s="1"/>
  <c r="I38" i="7"/>
  <c r="I37" i="7"/>
  <c r="G32" i="7"/>
  <c r="E32" i="7"/>
  <c r="D32" i="7"/>
  <c r="G31" i="7"/>
  <c r="E31" i="7"/>
  <c r="D31" i="7"/>
  <c r="G30" i="7"/>
  <c r="E30" i="7"/>
  <c r="D30" i="7"/>
  <c r="G29" i="7"/>
  <c r="E29" i="7"/>
  <c r="D29" i="7"/>
  <c r="G28" i="7"/>
  <c r="E28" i="7"/>
  <c r="D28" i="7"/>
  <c r="G27" i="7"/>
  <c r="E27" i="7"/>
  <c r="D27" i="7"/>
  <c r="G26" i="7"/>
  <c r="E26" i="7"/>
  <c r="D26" i="7"/>
  <c r="G25" i="7"/>
  <c r="E25" i="7"/>
  <c r="D25" i="7"/>
  <c r="G24" i="7"/>
  <c r="E24" i="7"/>
  <c r="I17" i="7"/>
  <c r="H17" i="7"/>
  <c r="G17" i="7"/>
  <c r="F17" i="7"/>
  <c r="E17" i="7"/>
  <c r="H15" i="7"/>
  <c r="G15" i="7"/>
  <c r="H14" i="7"/>
  <c r="G14" i="7"/>
  <c r="I13" i="7"/>
  <c r="E13" i="7"/>
  <c r="H12" i="7"/>
  <c r="E12" i="7"/>
  <c r="H11" i="7"/>
  <c r="G11" i="7"/>
  <c r="I7" i="7"/>
  <c r="H7" i="7"/>
  <c r="G7" i="7"/>
  <c r="F7" i="7"/>
  <c r="E7" i="7"/>
  <c r="J12" i="7" l="1"/>
  <c r="J17" i="7"/>
  <c r="H206" i="7"/>
  <c r="H9" i="7" s="1"/>
  <c r="H16" i="7" s="1"/>
  <c r="H18" i="7" s="1"/>
  <c r="J13" i="7"/>
  <c r="G16" i="7"/>
  <c r="G18" i="7" s="1"/>
  <c r="I44" i="1"/>
  <c r="I132" i="7"/>
  <c r="F14" i="7" s="1"/>
  <c r="J14" i="7" s="1"/>
  <c r="P85" i="1"/>
  <c r="H53" i="1"/>
  <c r="H57" i="1" s="1"/>
  <c r="DT113" i="14"/>
  <c r="I30" i="1"/>
  <c r="I32" i="1" s="1"/>
  <c r="P32" i="1" s="1"/>
  <c r="I96" i="1"/>
  <c r="I34" i="1"/>
  <c r="I49" i="1"/>
  <c r="P49" i="1" s="1"/>
  <c r="H254" i="7"/>
  <c r="H262" i="7"/>
  <c r="H61" i="1"/>
  <c r="H51" i="1"/>
  <c r="H99" i="1"/>
  <c r="P50" i="1"/>
  <c r="I86" i="1"/>
  <c r="P82" i="1"/>
  <c r="P94" i="1"/>
  <c r="H80" i="1"/>
  <c r="I92" i="1"/>
  <c r="C133" i="13"/>
  <c r="B133" i="13"/>
  <c r="AS133" i="13"/>
  <c r="AW133" i="13" s="1"/>
  <c r="AW132" i="13"/>
  <c r="AM131" i="13"/>
  <c r="AE132" i="13"/>
  <c r="BC132" i="13"/>
  <c r="AY133" i="13"/>
  <c r="BC133" i="13" s="1"/>
  <c r="BL52" i="13"/>
  <c r="AV131" i="13"/>
  <c r="AR132" i="13"/>
  <c r="AB131" i="13"/>
  <c r="N132" i="13"/>
  <c r="AC131" i="13"/>
  <c r="BM131" i="13" s="1"/>
  <c r="O132" i="13"/>
  <c r="BB131" i="13"/>
  <c r="AX132" i="13"/>
  <c r="BD133" i="13"/>
  <c r="BH133" i="13" s="1"/>
  <c r="BH132" i="13"/>
  <c r="BE133" i="13"/>
  <c r="BI133" i="13" s="1"/>
  <c r="BI132" i="13"/>
  <c r="P72" i="1"/>
  <c r="H258" i="7"/>
  <c r="I45" i="7"/>
  <c r="E11" i="7" s="1"/>
  <c r="I81" i="7"/>
  <c r="E15" i="7" s="1"/>
  <c r="G34" i="7"/>
  <c r="I106" i="7"/>
  <c r="F11" i="7" s="1"/>
  <c r="H256" i="7"/>
  <c r="H260" i="7"/>
  <c r="I272" i="7"/>
  <c r="I11" i="7" s="1"/>
  <c r="H24" i="7"/>
  <c r="F24" i="7"/>
  <c r="I24" i="7" s="1"/>
  <c r="H25" i="7"/>
  <c r="F25" i="7"/>
  <c r="I25" i="7" s="1"/>
  <c r="H26" i="7"/>
  <c r="F26" i="7"/>
  <c r="I26" i="7" s="1"/>
  <c r="H27" i="7"/>
  <c r="F27" i="7"/>
  <c r="I27" i="7" s="1"/>
  <c r="H28" i="7"/>
  <c r="F28" i="7"/>
  <c r="I28" i="7" s="1"/>
  <c r="H29" i="7"/>
  <c r="F29" i="7"/>
  <c r="I29" i="7" s="1"/>
  <c r="H30" i="7"/>
  <c r="F30" i="7"/>
  <c r="I30" i="7" s="1"/>
  <c r="H31" i="7"/>
  <c r="F31" i="7"/>
  <c r="I31" i="7" s="1"/>
  <c r="H32" i="7"/>
  <c r="F32" i="7"/>
  <c r="I32" i="7" s="1"/>
  <c r="H88" i="7"/>
  <c r="F88" i="7"/>
  <c r="I88" i="7" s="1"/>
  <c r="H89" i="7"/>
  <c r="F89" i="7"/>
  <c r="I89" i="7" s="1"/>
  <c r="H90" i="7"/>
  <c r="F90" i="7"/>
  <c r="I90" i="7" s="1"/>
  <c r="H91" i="7"/>
  <c r="F91" i="7"/>
  <c r="I91" i="7" s="1"/>
  <c r="H92" i="7"/>
  <c r="F92" i="7"/>
  <c r="I92" i="7" s="1"/>
  <c r="H93" i="7"/>
  <c r="F93" i="7"/>
  <c r="I93" i="7" s="1"/>
  <c r="H94" i="7"/>
  <c r="F94" i="7"/>
  <c r="I94" i="7" s="1"/>
  <c r="H95" i="7"/>
  <c r="F95" i="7"/>
  <c r="I95" i="7" s="1"/>
  <c r="H96" i="7"/>
  <c r="F96" i="7"/>
  <c r="I96" i="7" s="1"/>
  <c r="I33" i="1"/>
  <c r="P33" i="1" s="1"/>
  <c r="I141" i="7"/>
  <c r="F15" i="7" s="1"/>
  <c r="H255" i="7"/>
  <c r="F255" i="7"/>
  <c r="I255" i="7" s="1"/>
  <c r="H257" i="7"/>
  <c r="F257" i="7"/>
  <c r="I257" i="7" s="1"/>
  <c r="H259" i="7"/>
  <c r="F259" i="7"/>
  <c r="I259" i="7" s="1"/>
  <c r="H261" i="7"/>
  <c r="F261" i="7"/>
  <c r="I261" i="7" s="1"/>
  <c r="I308" i="7"/>
  <c r="I15" i="7" s="1"/>
  <c r="I102" i="1"/>
  <c r="P102" i="1" s="1"/>
  <c r="I97" i="1"/>
  <c r="P97" i="1" s="1"/>
  <c r="I95" i="1"/>
  <c r="F254" i="7"/>
  <c r="I254" i="7" s="1"/>
  <c r="F256" i="7"/>
  <c r="I256" i="7" s="1"/>
  <c r="F258" i="7"/>
  <c r="I258" i="7" s="1"/>
  <c r="F260" i="7"/>
  <c r="I260" i="7" s="1"/>
  <c r="F262" i="7"/>
  <c r="I262" i="7" s="1"/>
  <c r="I47" i="1" l="1"/>
  <c r="P44" i="1"/>
  <c r="P30" i="1"/>
  <c r="I76" i="1"/>
  <c r="H263" i="7"/>
  <c r="I9" i="7" s="1"/>
  <c r="I51" i="1"/>
  <c r="I99" i="1"/>
  <c r="P95" i="1"/>
  <c r="AR133" i="13"/>
  <c r="AV133" i="13" s="1"/>
  <c r="AV132" i="13"/>
  <c r="BB132" i="13"/>
  <c r="AX133" i="13"/>
  <c r="BB133" i="13" s="1"/>
  <c r="BL131" i="13"/>
  <c r="N133" i="13"/>
  <c r="AB133" i="13" s="1"/>
  <c r="AB132" i="13"/>
  <c r="AM132" i="13"/>
  <c r="AE133" i="13"/>
  <c r="AM133" i="13" s="1"/>
  <c r="O133" i="13"/>
  <c r="AC133" i="13" s="1"/>
  <c r="BM133" i="13" s="1"/>
  <c r="AC132" i="13"/>
  <c r="J15" i="7"/>
  <c r="I97" i="7"/>
  <c r="F10" i="7" s="1"/>
  <c r="J11" i="7"/>
  <c r="H97" i="7"/>
  <c r="F9" i="7" s="1"/>
  <c r="H33" i="7"/>
  <c r="I33" i="7"/>
  <c r="E10" i="7" s="1"/>
  <c r="I263" i="7"/>
  <c r="I10" i="7" s="1"/>
  <c r="J10" i="7" l="1"/>
  <c r="I80" i="1"/>
  <c r="P76" i="1"/>
  <c r="F16" i="7"/>
  <c r="F18" i="7" s="1"/>
  <c r="BL133" i="13"/>
  <c r="BM132" i="13"/>
  <c r="BL132" i="13"/>
  <c r="E9" i="7"/>
  <c r="I53" i="1"/>
  <c r="I16" i="7"/>
  <c r="I58" i="1" l="1"/>
  <c r="I57" i="1"/>
  <c r="E16" i="7"/>
  <c r="J9" i="7"/>
  <c r="I61" i="1" l="1"/>
  <c r="E18" i="7"/>
  <c r="J16" i="7"/>
  <c r="I6" i="1" s="1"/>
  <c r="P6" i="1" s="1"/>
  <c r="J96" i="1"/>
  <c r="J99" i="1" s="1"/>
  <c r="J53" i="1"/>
  <c r="J46" i="1"/>
  <c r="J47" i="1" s="1"/>
  <c r="J34" i="1"/>
  <c r="N105" i="1"/>
  <c r="N18" i="1"/>
  <c r="N10" i="1"/>
  <c r="K53" i="1"/>
  <c r="K46" i="1"/>
  <c r="K47" i="1" s="1"/>
  <c r="K34" i="1"/>
  <c r="L13" i="1"/>
  <c r="L34" i="1"/>
  <c r="L96" i="1"/>
  <c r="L99" i="1" s="1"/>
  <c r="L46" i="1"/>
  <c r="L47" i="1" s="1"/>
  <c r="F14" i="10"/>
  <c r="L53" i="1"/>
  <c r="M34" i="1"/>
  <c r="M51" i="1" s="1"/>
  <c r="M96" i="1"/>
  <c r="G9" i="11"/>
  <c r="M53" i="1"/>
  <c r="M57" i="1" s="1"/>
  <c r="P22" i="1"/>
  <c r="P20" i="1"/>
  <c r="P19" i="1"/>
  <c r="P17" i="1"/>
  <c r="P16" i="1"/>
  <c r="P14" i="1"/>
  <c r="E12" i="1"/>
  <c r="O10" i="1"/>
  <c r="M10" i="1"/>
  <c r="L10" i="1"/>
  <c r="K10" i="1"/>
  <c r="J10" i="1"/>
  <c r="I10" i="1"/>
  <c r="H10" i="1"/>
  <c r="E10" i="1"/>
  <c r="D10" i="1"/>
  <c r="M13" i="1"/>
  <c r="K13" i="1"/>
  <c r="J13" i="1"/>
  <c r="H17" i="4"/>
  <c r="I17" i="4" s="1"/>
  <c r="H13" i="4"/>
  <c r="I13" i="4" s="1"/>
  <c r="C18" i="1"/>
  <c r="C105" i="1"/>
  <c r="D18" i="1"/>
  <c r="D105" i="1"/>
  <c r="E18" i="1"/>
  <c r="E105" i="1"/>
  <c r="I18" i="1"/>
  <c r="I105" i="1"/>
  <c r="H18" i="1"/>
  <c r="H105" i="1"/>
  <c r="B18" i="2" l="1"/>
  <c r="L51" i="1"/>
  <c r="J57" i="1"/>
  <c r="J58" i="1"/>
  <c r="K51" i="1"/>
  <c r="L58" i="1"/>
  <c r="L61" i="1" s="1"/>
  <c r="L57" i="1"/>
  <c r="K57" i="1"/>
  <c r="K58" i="1"/>
  <c r="K61" i="1" s="1"/>
  <c r="J51" i="1"/>
  <c r="D26" i="1"/>
  <c r="E26" i="1"/>
  <c r="H26" i="1"/>
  <c r="I26" i="1"/>
  <c r="N26" i="1"/>
  <c r="M99" i="1"/>
  <c r="P96" i="1"/>
  <c r="P53" i="1"/>
  <c r="P46" i="1"/>
  <c r="P34" i="1"/>
  <c r="L16" i="7"/>
  <c r="C10" i="1"/>
  <c r="C26" i="1" s="1"/>
  <c r="P12" i="1"/>
  <c r="N67" i="1"/>
  <c r="P13" i="1"/>
  <c r="C67" i="1"/>
  <c r="C106" i="1" s="1"/>
  <c r="D67" i="1"/>
  <c r="H67" i="1"/>
  <c r="E67" i="1"/>
  <c r="B27" i="2" l="1"/>
  <c r="B112" i="2" s="1"/>
  <c r="B15" i="1"/>
  <c r="P15" i="1" s="1"/>
  <c r="J61" i="1"/>
  <c r="P58" i="1"/>
  <c r="I67" i="1"/>
  <c r="I106" i="1" s="1"/>
  <c r="I108" i="1" s="1"/>
  <c r="E106" i="1"/>
  <c r="E108" i="1" s="1"/>
  <c r="N106" i="1"/>
  <c r="N108" i="1" s="1"/>
  <c r="P10" i="1"/>
  <c r="G108" i="1"/>
  <c r="H106" i="1"/>
  <c r="H108" i="1" s="1"/>
  <c r="C108" i="1"/>
  <c r="D106" i="1"/>
  <c r="D108" i="1" s="1"/>
  <c r="B26" i="1" l="1"/>
  <c r="L109" i="5"/>
  <c r="N109" i="5" s="1"/>
  <c r="N108" i="5"/>
  <c r="N107" i="5"/>
  <c r="N106" i="5"/>
  <c r="N105" i="5"/>
  <c r="N104" i="5"/>
  <c r="N103" i="5"/>
  <c r="N102" i="5"/>
  <c r="N101" i="5"/>
  <c r="N100" i="5"/>
  <c r="N99" i="5"/>
  <c r="L98" i="5"/>
  <c r="N77" i="5"/>
  <c r="R71" i="5"/>
  <c r="P71" i="5"/>
  <c r="R70" i="5"/>
  <c r="P70" i="5"/>
  <c r="L69" i="5"/>
  <c r="J69" i="5"/>
  <c r="I69" i="5"/>
  <c r="L68" i="5"/>
  <c r="J68" i="5"/>
  <c r="I68" i="5"/>
  <c r="L67" i="5"/>
  <c r="J67" i="5"/>
  <c r="L66" i="5"/>
  <c r="P66" i="5" s="1"/>
  <c r="R66" i="5" s="1"/>
  <c r="L65" i="5"/>
  <c r="P65" i="5" s="1"/>
  <c r="R65" i="5" s="1"/>
  <c r="L64" i="5"/>
  <c r="P64" i="5" s="1"/>
  <c r="R64" i="5" s="1"/>
  <c r="L63" i="5"/>
  <c r="P63" i="5" s="1"/>
  <c r="R63" i="5" s="1"/>
  <c r="L62" i="5"/>
  <c r="J62" i="5"/>
  <c r="I62" i="5"/>
  <c r="R61" i="5"/>
  <c r="Q61" i="5"/>
  <c r="P61" i="5"/>
  <c r="R60" i="5"/>
  <c r="Q60" i="5"/>
  <c r="P60" i="5"/>
  <c r="L59" i="5"/>
  <c r="J59" i="5"/>
  <c r="I59" i="5"/>
  <c r="C108" i="5" s="1"/>
  <c r="L58" i="5"/>
  <c r="J58" i="5"/>
  <c r="I58" i="5"/>
  <c r="C107" i="5" s="1"/>
  <c r="R53" i="5"/>
  <c r="Q53" i="5"/>
  <c r="R52" i="5"/>
  <c r="Q52" i="5"/>
  <c r="P52" i="5"/>
  <c r="R51" i="5"/>
  <c r="Q51" i="5"/>
  <c r="P51" i="5"/>
  <c r="R50" i="5"/>
  <c r="Q50" i="5"/>
  <c r="P50" i="5"/>
  <c r="R49" i="5"/>
  <c r="Q49" i="5"/>
  <c r="P49" i="5"/>
  <c r="R48" i="5"/>
  <c r="Q48" i="5"/>
  <c r="P48" i="5"/>
  <c r="R47" i="5"/>
  <c r="Q47" i="5"/>
  <c r="P47" i="5"/>
  <c r="R46" i="5"/>
  <c r="Q46" i="5"/>
  <c r="P46" i="5"/>
  <c r="R45" i="5"/>
  <c r="Q45" i="5"/>
  <c r="P45" i="5"/>
  <c r="R44" i="5"/>
  <c r="Q44" i="5"/>
  <c r="P44" i="5"/>
  <c r="R43" i="5"/>
  <c r="Q43" i="5"/>
  <c r="P43" i="5"/>
  <c r="R42" i="5"/>
  <c r="Q42" i="5"/>
  <c r="P42" i="5"/>
  <c r="R41" i="5"/>
  <c r="Q41" i="5"/>
  <c r="P41" i="5"/>
  <c r="I40" i="5"/>
  <c r="R40" i="5" s="1"/>
  <c r="I39" i="5"/>
  <c r="Q39" i="5" s="1"/>
  <c r="I38" i="5"/>
  <c r="Q38" i="5" s="1"/>
  <c r="I37" i="5"/>
  <c r="Q37" i="5" s="1"/>
  <c r="P36" i="5"/>
  <c r="P13" i="5"/>
  <c r="K73" i="5" l="1"/>
  <c r="R38" i="5"/>
  <c r="P59" i="5"/>
  <c r="Q59" i="5" s="1"/>
  <c r="R37" i="5"/>
  <c r="R39" i="5"/>
  <c r="P69" i="5"/>
  <c r="L111" i="5"/>
  <c r="N111" i="5" s="1"/>
  <c r="P68" i="5"/>
  <c r="R68" i="5" s="1"/>
  <c r="P58" i="5"/>
  <c r="Q58" i="5" s="1"/>
  <c r="P62" i="5"/>
  <c r="R62" i="5" s="1"/>
  <c r="P67" i="5"/>
  <c r="R67" i="5" s="1"/>
  <c r="P53" i="5"/>
  <c r="P37" i="5"/>
  <c r="P38" i="5"/>
  <c r="P39" i="5"/>
  <c r="P40" i="5"/>
  <c r="Q40" i="5"/>
  <c r="Q73" i="5" l="1"/>
  <c r="R73" i="5"/>
  <c r="P73" i="5"/>
  <c r="T18" i="4" l="1"/>
  <c r="U18" i="4" l="1"/>
  <c r="L105" i="1" l="1"/>
  <c r="O105" i="1"/>
  <c r="K105" i="1"/>
  <c r="K80" i="1"/>
  <c r="P61" i="1"/>
  <c r="O18" i="1"/>
  <c r="O26" i="1" s="1"/>
  <c r="M18" i="1"/>
  <c r="M26" i="1" s="1"/>
  <c r="L18" i="1"/>
  <c r="L26" i="1" s="1"/>
  <c r="K18" i="1"/>
  <c r="K26" i="1" s="1"/>
  <c r="J18" i="1"/>
  <c r="J26" i="1" s="1"/>
  <c r="P26" i="1" l="1"/>
  <c r="P47" i="1"/>
  <c r="P92" i="1"/>
  <c r="P99" i="1"/>
  <c r="P18" i="1"/>
  <c r="K67" i="1"/>
  <c r="L67" i="1"/>
  <c r="J67" i="1"/>
  <c r="P66" i="1"/>
  <c r="M105" i="1"/>
  <c r="J105" i="1"/>
  <c r="P57" i="1" l="1"/>
  <c r="P67" i="1" s="1"/>
  <c r="P86" i="1"/>
  <c r="J106" i="1"/>
  <c r="J108" i="1" s="1"/>
  <c r="P105" i="1"/>
  <c r="L106" i="1"/>
  <c r="L108" i="1" s="1"/>
  <c r="K106" i="1"/>
  <c r="K108" i="1" s="1"/>
  <c r="P51" i="1"/>
  <c r="M67" i="1"/>
  <c r="O67" i="1"/>
  <c r="B79" i="2" l="1"/>
  <c r="O106" i="1"/>
  <c r="O108" i="1" s="1"/>
  <c r="M106" i="1"/>
  <c r="M108" i="1" s="1"/>
  <c r="B80" i="1" l="1"/>
  <c r="B106" i="1" s="1"/>
  <c r="B108" i="1" s="1"/>
  <c r="B75" i="1"/>
  <c r="P75" i="1" s="1"/>
  <c r="P77" i="1"/>
  <c r="P80" i="1" l="1"/>
  <c r="P106" i="1" s="1"/>
  <c r="P10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MaryClare Clark</author>
  </authors>
  <commentList>
    <comment ref="D11" authorId="0" shapeId="0" xr:uid="{AEF47427-4DF8-4D44-95E5-594F38BE0A65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DFC ends 9.29.2023</t>
        </r>
      </text>
    </comment>
    <comment ref="H21" authorId="0" shapeId="0" xr:uid="{49F51439-12AF-4122-9953-5C2275AF96AF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$10,000 FOR TECH, $2,000 CADCA
</t>
        </r>
      </text>
    </comment>
    <comment ref="H79" authorId="0" shapeId="0" xr:uid="{D61B28EE-8143-42E3-844D-E9EDBDE685A6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CADCA extra allowance
</t>
        </r>
      </text>
    </comment>
    <comment ref="N83" authorId="0" shapeId="0" xr:uid="{7A2C7A6F-A6EF-4503-B4C1-B0F2A5A07227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PSA Project - $1,000</t>
        </r>
      </text>
    </comment>
    <comment ref="N85" authorId="0" shapeId="0" xr:uid="{98EC4DC6-E3CB-4BEA-AAD3-23E69911C100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2020 Mom Streaming Live Forum - $600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MaryClare Clark</author>
  </authors>
  <commentList>
    <comment ref="B36" authorId="0" shapeId="0" xr:uid="{634B27A4-8829-4C80-8464-5AEF1F7BEB3D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BRAVE additional expenses</t>
        </r>
      </text>
    </comment>
    <comment ref="B78" authorId="0" shapeId="0" xr:uid="{36D1D9D8-F55D-4533-A109-70603F5E164F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Holiday gifts, swag incentives, massages, wellness
</t>
        </r>
      </text>
    </comment>
    <comment ref="B98" authorId="0" shapeId="0" xr:uid="{4E107AE9-400E-465A-8050-3425311A8904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Copier Monthly Bills. $210 device, $150 for copies 
*12 months 
*14%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MaryClare Clark</author>
  </authors>
  <commentList>
    <comment ref="B36" authorId="0" shapeId="0" xr:uid="{FEBE1954-62C0-4542-8A1F-46457FF32CB8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BRAVE additional expenses</t>
        </r>
      </text>
    </comment>
    <comment ref="B78" authorId="0" shapeId="0" xr:uid="{CC6E21D8-D019-42A4-B9FC-526AB4BE33A2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Holiday gifts, swag incentives, massages, wellness
</t>
        </r>
      </text>
    </comment>
    <comment ref="B98" authorId="0" shapeId="0" xr:uid="{CD927176-E7A6-46F9-922A-E49E2280200B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Copier Monthly Bills. $210 device, $150 for copies 
*12 months 
*14%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MaryClare Clark</author>
  </authors>
  <commentList>
    <comment ref="B25" authorId="0" shapeId="0" xr:uid="{33C47998-5D64-46D8-BCB1-1C37FA376A66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From DAC admin
</t>
        </r>
      </text>
    </comment>
    <comment ref="B98" authorId="0" shapeId="0" xr:uid="{2BC4AEE3-6DF2-493B-A144-C7E15C7294B7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$650 copier, first year only
$350 ink every year as needed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tc={6CA43B12-8B94-4409-9AB9-94AC23493656}</author>
  </authors>
  <commentList>
    <comment ref="D1" authorId="0" shapeId="0" xr:uid="{6CA43B12-8B94-4409-9AB9-94AC23493656}">
      <text>
        <t>[Threaded comment]
Your version of Excel allows you to read this threaded comment; however, any edits to it will get removed if the file is opened in a newer version of Excel. Learn more: https://go.microsoft.com/fwlink/?linkid=870924
Comment:
    @Tanya McKinney @Monique Johnson Please review this budget and make sure I didn't forget anything we will need for these programs. We need to make sure we are spending as close to exactly as proposed,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tc={5B338B96-AC36-4C27-A279-7D8C0F233F46}</author>
    <author>MaryClare Clark</author>
  </authors>
  <commentList>
    <comment ref="B50" authorId="0" shapeId="0" xr:uid="{5B338B96-AC36-4C27-A279-7D8C0F233F46}">
      <text>
        <t>[Threaded comment]
Your version of Excel allows you to read this threaded comment; however, any edits to it will get removed if the file is opened in a newer version of Excel. Learn more: https://go.microsoft.com/fwlink/?linkid=870924
Comment:
    @Bill Rondeau If any of these charges could be applied to DMHA CP, for the extra Tech Grant, we should journal entry that portion to them.</t>
      </text>
    </comment>
    <comment ref="B51" authorId="1" shapeId="0" xr:uid="{6C9676EC-2FF0-410B-B9BA-E24FD64FAE9D}">
      <text>
        <r>
          <rPr>
            <b/>
            <sz val="9"/>
            <color indexed="81"/>
            <rFont val="Tahoma"/>
            <family val="2"/>
          </rPr>
          <t>MaryClare Clark:</t>
        </r>
        <r>
          <rPr>
            <sz val="9"/>
            <color indexed="81"/>
            <rFont val="Tahoma"/>
            <family val="2"/>
          </rPr>
          <t xml:space="preserve">
should have been OA, but due to overspending in CMCM, admin covered this year.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<sst xmlns="http://schemas.openxmlformats.org/spreadsheetml/2006/main" count="2931" uniqueCount="897">
  <si>
    <t>Allen County Drug and Alcohol Consortium, Inc.</t>
  </si>
  <si>
    <t>January - December 2022</t>
  </si>
  <si>
    <t>Admin/General</t>
  </si>
  <si>
    <t>BSF Bienestar sin Fronteras</t>
  </si>
  <si>
    <t>DFC</t>
  </si>
  <si>
    <t>DFI Grants Out</t>
  </si>
  <si>
    <t>DMHA BRAVE</t>
  </si>
  <si>
    <t>DMHA CP</t>
  </si>
  <si>
    <t>DMHA OA</t>
  </si>
  <si>
    <t>IDOH - HWC</t>
  </si>
  <si>
    <t>IDOH - INCARES</t>
  </si>
  <si>
    <t>IDOH - MM</t>
  </si>
  <si>
    <t>IDOH - Title V/SSNEI</t>
  </si>
  <si>
    <t>BRAVE (Non-DMHA)</t>
  </si>
  <si>
    <t>Mission Motherhood (Non-IDOH)</t>
  </si>
  <si>
    <t>STOP SUICIDE (Non-IDOH)</t>
  </si>
  <si>
    <t>TOTAL</t>
  </si>
  <si>
    <t>2023 Budget</t>
  </si>
  <si>
    <t>Revenue</t>
  </si>
  <si>
    <t xml:space="preserve">   403 DMHA Revenue</t>
  </si>
  <si>
    <t xml:space="preserve">   Total 403 DMHA Revenue</t>
  </si>
  <si>
    <t xml:space="preserve">   404 Foundation Funding</t>
  </si>
  <si>
    <t xml:space="preserve">      404.1 BSF Revenue TLF</t>
  </si>
  <si>
    <t xml:space="preserve">      404.2 BSF Revenue SJF</t>
  </si>
  <si>
    <t xml:space="preserve">   Total 404 Foundation Funding</t>
  </si>
  <si>
    <t xml:space="preserve">   405 DFC Revenue</t>
  </si>
  <si>
    <t xml:space="preserve">   406 DFI Revenue Once Annually</t>
  </si>
  <si>
    <t xml:space="preserve">   409 IDOH Revenue</t>
  </si>
  <si>
    <t xml:space="preserve">   410 Mission Motherhood (non-IDOH)</t>
  </si>
  <si>
    <t xml:space="preserve">   415 Administrative Services Revenue</t>
  </si>
  <si>
    <t xml:space="preserve">   419 Other Grants</t>
  </si>
  <si>
    <t xml:space="preserve">   420 Other Contributions</t>
  </si>
  <si>
    <t xml:space="preserve">      421 Fundraising</t>
  </si>
  <si>
    <t xml:space="preserve">   Total 420 Other Contributions</t>
  </si>
  <si>
    <t xml:space="preserve">   429 Returned Grant</t>
  </si>
  <si>
    <t xml:space="preserve">   450 Interest Income</t>
  </si>
  <si>
    <t xml:space="preserve">   460 Other Income</t>
  </si>
  <si>
    <t xml:space="preserve">   Purchase Refund</t>
  </si>
  <si>
    <t>Total Revenue</t>
  </si>
  <si>
    <t>Gross Profit</t>
  </si>
  <si>
    <t>Expenditures</t>
  </si>
  <si>
    <t xml:space="preserve">   510 Legal &amp; Professional</t>
  </si>
  <si>
    <t xml:space="preserve">      511 Accounting</t>
  </si>
  <si>
    <t xml:space="preserve">         500 Bank Charges</t>
  </si>
  <si>
    <t xml:space="preserve">      Total 511 Accounting</t>
  </si>
  <si>
    <t xml:space="preserve">      512 Auditor (Finance)</t>
  </si>
  <si>
    <t xml:space="preserve">      514 Administrative Services</t>
  </si>
  <si>
    <t xml:space="preserve">      521 Evaluators</t>
  </si>
  <si>
    <t xml:space="preserve">      522 Contract Employee</t>
  </si>
  <si>
    <t xml:space="preserve">         522.1 BSF Admin</t>
  </si>
  <si>
    <t xml:space="preserve">         522.2 BSF Clinical Triage and Sup</t>
  </si>
  <si>
    <t xml:space="preserve">         522.3 BSF Therapy Services</t>
  </si>
  <si>
    <t xml:space="preserve">         522.4 BSF PD</t>
  </si>
  <si>
    <t xml:space="preserve">      Total 522 Contract Employee</t>
  </si>
  <si>
    <t xml:space="preserve">      523 Media Contractor</t>
  </si>
  <si>
    <t xml:space="preserve">      524 Misc. Contracts</t>
  </si>
  <si>
    <t xml:space="preserve">      525 Subcontractors</t>
  </si>
  <si>
    <t xml:space="preserve">         525.10 Contracted Services - Translation</t>
  </si>
  <si>
    <t xml:space="preserve">      Total 525 Subcontractors</t>
  </si>
  <si>
    <t xml:space="preserve">      526 MOU Payments for Partners (Non DFI)</t>
  </si>
  <si>
    <t xml:space="preserve">      533 Technology Updates &amp; Support</t>
  </si>
  <si>
    <t xml:space="preserve">      540 Liability Insurance</t>
  </si>
  <si>
    <t xml:space="preserve">   Total 510 Legal &amp; Professional</t>
  </si>
  <si>
    <t xml:space="preserve">   550 Payroll Expenditures</t>
  </si>
  <si>
    <t xml:space="preserve">      555 Salaries &amp; Wages</t>
  </si>
  <si>
    <t xml:space="preserve">         556 Staff Expense-1</t>
  </si>
  <si>
    <t xml:space="preserve">         558 OFR Facilitation</t>
  </si>
  <si>
    <t xml:space="preserve">         559 Insurance Company Co</t>
  </si>
  <si>
    <t xml:space="preserve">      Total 555 Salaries &amp; Wages</t>
  </si>
  <si>
    <t xml:space="preserve">      560 Payroll Tax Expenses</t>
  </si>
  <si>
    <t xml:space="preserve">         561 FICA Taxes</t>
  </si>
  <si>
    <t xml:space="preserve">         562 Unemployment Taxes</t>
  </si>
  <si>
    <t xml:space="preserve">      Total 560 Payroll Tax Expenses</t>
  </si>
  <si>
    <t xml:space="preserve">      565 Employee Benefits</t>
  </si>
  <si>
    <t xml:space="preserve">         566 SIMPLE IRA Company Contributions</t>
  </si>
  <si>
    <t xml:space="preserve">         567 Health Insurance Company Contributions</t>
  </si>
  <si>
    <t xml:space="preserve">         569 Health Insurance</t>
  </si>
  <si>
    <t xml:space="preserve">      Total 565 Employee Benefits</t>
  </si>
  <si>
    <t xml:space="preserve">   Total 550 Payroll Expenditures</t>
  </si>
  <si>
    <t xml:space="preserve">   650 DAC Grants &amp; Scholarships</t>
  </si>
  <si>
    <t xml:space="preserve">      651 Intervention Scholarships</t>
  </si>
  <si>
    <t xml:space="preserve">      652 Justice Mini-Grants</t>
  </si>
  <si>
    <t xml:space="preserve">      653 Prevention Mini-Grants</t>
  </si>
  <si>
    <t xml:space="preserve">   Total 650 DAC Grants &amp; Scholarships</t>
  </si>
  <si>
    <t xml:space="preserve">   710 Staff Training Expense</t>
  </si>
  <si>
    <t xml:space="preserve">   712 Staff Expense Office</t>
  </si>
  <si>
    <t xml:space="preserve">   720 Travel</t>
  </si>
  <si>
    <t xml:space="preserve">      711 Staff Expense</t>
  </si>
  <si>
    <t xml:space="preserve">      721 Staff Mileage</t>
  </si>
  <si>
    <t xml:space="preserve">      722 Staff Travel, Meals &amp; Conferences</t>
  </si>
  <si>
    <t xml:space="preserve">   Total 720 Travel</t>
  </si>
  <si>
    <t xml:space="preserve">   755 PSA/Media Campaign</t>
  </si>
  <si>
    <t xml:space="preserve">      756 Printing &amp; Publications</t>
  </si>
  <si>
    <t xml:space="preserve">      757 Social Media Marketing</t>
  </si>
  <si>
    <t xml:space="preserve">      758 Media Supplies</t>
  </si>
  <si>
    <t xml:space="preserve">      759 Advertising/Promotional Events</t>
  </si>
  <si>
    <t xml:space="preserve">   Total 755 PSA/Media Campaign</t>
  </si>
  <si>
    <t xml:space="preserve">   780 Partner Training &amp; Program Expenses</t>
  </si>
  <si>
    <t xml:space="preserve">      782 Program Supplies</t>
  </si>
  <si>
    <t xml:space="preserve">      783 Program Curricula</t>
  </si>
  <si>
    <t xml:space="preserve">      786 Incentives</t>
  </si>
  <si>
    <t xml:space="preserve">      787 Direct Client Expenses</t>
  </si>
  <si>
    <t xml:space="preserve">   Total 780 Partner Training &amp; Program Expenses</t>
  </si>
  <si>
    <t xml:space="preserve">   800 General Office</t>
  </si>
  <si>
    <t xml:space="preserve">      801 Copies</t>
  </si>
  <si>
    <t xml:space="preserve">      802 Dues &amp; subscriptions</t>
  </si>
  <si>
    <t xml:space="preserve">      805 Supplies</t>
  </si>
  <si>
    <t xml:space="preserve">      810 Postage &amp; Shipping</t>
  </si>
  <si>
    <t xml:space="preserve">      811 Community Meetings</t>
  </si>
  <si>
    <t xml:space="preserve">   Total 800 General Office</t>
  </si>
  <si>
    <t xml:space="preserve">   830 Miscellaneous</t>
  </si>
  <si>
    <t xml:space="preserve">   831 Unapplied Cash Bill Payment Expense</t>
  </si>
  <si>
    <t xml:space="preserve">   851 Occupancy Expense</t>
  </si>
  <si>
    <t xml:space="preserve">      852 Utilities</t>
  </si>
  <si>
    <t xml:space="preserve">      854 Telephone &amp; Communications</t>
  </si>
  <si>
    <t xml:space="preserve">   Total 851 Occupancy Expense</t>
  </si>
  <si>
    <t>Total Expenditures</t>
  </si>
  <si>
    <t>Net Operating Revenue</t>
  </si>
  <si>
    <t>Net Revenue</t>
  </si>
  <si>
    <t>Budget</t>
  </si>
  <si>
    <t xml:space="preserve">      403.1 DMHA CP</t>
  </si>
  <si>
    <t xml:space="preserve">      403.2 DHMA OA</t>
  </si>
  <si>
    <t xml:space="preserve">   411 Project ME</t>
  </si>
  <si>
    <t xml:space="preserve">      651 Intervention Scholarships &amp; Grants</t>
  </si>
  <si>
    <t xml:space="preserve">         654 Training &amp; Curriculum</t>
  </si>
  <si>
    <t xml:space="preserve">      Total 653 Prevention Mini-Grants</t>
  </si>
  <si>
    <t xml:space="preserve">   Client Expense</t>
  </si>
  <si>
    <t xml:space="preserve">   Payroll Expenses</t>
  </si>
  <si>
    <t xml:space="preserve">      Wages</t>
  </si>
  <si>
    <t xml:space="preserve">         Paid time off</t>
  </si>
  <si>
    <t xml:space="preserve">      Total Wages</t>
  </si>
  <si>
    <t xml:space="preserve">   Total Payroll Expenses</t>
  </si>
  <si>
    <t xml:space="preserve">   Uncategorized Expense</t>
  </si>
  <si>
    <t>Total</t>
  </si>
  <si>
    <t>Personnel</t>
  </si>
  <si>
    <t>Clinical Supervisor/Navigator</t>
  </si>
  <si>
    <t>Project Coordinator (Groups)</t>
  </si>
  <si>
    <t>Mileage</t>
  </si>
  <si>
    <t>Professional Development/Training/Orientation</t>
  </si>
  <si>
    <t>Equipment</t>
  </si>
  <si>
    <t>Supplies</t>
  </si>
  <si>
    <t>Office Supplies</t>
  </si>
  <si>
    <t>Food/Beverages</t>
  </si>
  <si>
    <t>Mental Health First Aid Books</t>
  </si>
  <si>
    <t>BUDGET SUMMARY</t>
  </si>
  <si>
    <t>SALARIES AND WAGES</t>
  </si>
  <si>
    <t>FRINGE BENEFITS</t>
  </si>
  <si>
    <t>CONSULTANTS</t>
  </si>
  <si>
    <t>SUPPLIES</t>
  </si>
  <si>
    <t>TRAVEL</t>
  </si>
  <si>
    <t>OTHER</t>
  </si>
  <si>
    <t>FEDERAL REQUEST</t>
  </si>
  <si>
    <t>Employee Benefits Costs</t>
  </si>
  <si>
    <t>Column1</t>
  </si>
  <si>
    <t xml:space="preserve">FEDERAL REQUEST  </t>
  </si>
  <si>
    <t>Category</t>
  </si>
  <si>
    <t>Federal Request</t>
  </si>
  <si>
    <t>9 months</t>
  </si>
  <si>
    <t>Non–Federal Request</t>
  </si>
  <si>
    <t>Position Title and Name</t>
  </si>
  <si>
    <t>Annual Salary/Rate</t>
  </si>
  <si>
    <t>Level of Effort</t>
  </si>
  <si>
    <t>Months</t>
  </si>
  <si>
    <t>Amt Requested</t>
  </si>
  <si>
    <t>Name of Consultant</t>
  </si>
  <si>
    <t>Organizational Affiliation</t>
  </si>
  <si>
    <t xml:space="preserve">Nature of Services </t>
  </si>
  <si>
    <t>Relevance of Services to Project</t>
  </si>
  <si>
    <t xml:space="preserve"># of Units </t>
  </si>
  <si>
    <t>Rate of Comp</t>
  </si>
  <si>
    <t>Method of Accountability</t>
  </si>
  <si>
    <t>Cost</t>
  </si>
  <si>
    <t>Item Requested</t>
  </si>
  <si>
    <t>Type</t>
  </si>
  <si>
    <t>Number Needed</t>
  </si>
  <si>
    <t>Unit Cost</t>
  </si>
  <si>
    <t>Number of Trips</t>
  </si>
  <si>
    <t>Number of People</t>
  </si>
  <si>
    <t>Cost of Airfare/# of trips</t>
  </si>
  <si>
    <t>Number of Total Miles</t>
  </si>
  <si>
    <t>Cost per Mile</t>
  </si>
  <si>
    <t>Item</t>
  </si>
  <si>
    <t>Rate</t>
  </si>
  <si>
    <t>(1) Program Director
MaryClare Akers</t>
  </si>
  <si>
    <t>12 months</t>
  </si>
  <si>
    <t>Retirement</t>
  </si>
  <si>
    <t>Kathleen Ratcliff, 
MPA, CPS</t>
  </si>
  <si>
    <t>Upstream Prevention</t>
  </si>
  <si>
    <t>Technical Assistance and Evaluation</t>
  </si>
  <si>
    <t>Analysis and reporting of core measures and coalition evaluation/technical assistance</t>
  </si>
  <si>
    <t>Reports</t>
  </si>
  <si>
    <t>(1)General office supplies</t>
  </si>
  <si>
    <t>Varies</t>
  </si>
  <si>
    <t>(1) Local travel</t>
  </si>
  <si>
    <t>(1) Rent and Maintenance</t>
  </si>
  <si>
    <t>Annual cost incl rent, maintenance and CAMS = $45,722 or $31.97/SF =$12,341.74</t>
  </si>
  <si>
    <t>Fringe</t>
  </si>
  <si>
    <t>(2) Project Coordinator
Monique Johnson</t>
  </si>
  <si>
    <t>FICA</t>
  </si>
  <si>
    <t>Becky Zulager</t>
  </si>
  <si>
    <t>Zulager CPA</t>
  </si>
  <si>
    <t>Accounting</t>
  </si>
  <si>
    <t>Monthly regular accounting services</t>
  </si>
  <si>
    <t>(2)Postage</t>
  </si>
  <si>
    <t>Stamps</t>
  </si>
  <si>
    <t>(2) Comcast Cable</t>
  </si>
  <si>
    <t>$150 x 12 months x 15% allocation</t>
  </si>
  <si>
    <t>Consultants</t>
  </si>
  <si>
    <t>(3) Project Assistant
Emily DelGrosso</t>
  </si>
  <si>
    <t>Workers Compensation</t>
  </si>
  <si>
    <t>Susan Berghoff, CPA</t>
  </si>
  <si>
    <t>DWD</t>
  </si>
  <si>
    <t>Financial Audit Services</t>
  </si>
  <si>
    <t>Annual audit required by the state</t>
  </si>
  <si>
    <t>(3)Printing and supplies</t>
  </si>
  <si>
    <t>B&amp;W</t>
  </si>
  <si>
    <t>Per Diem or Lodging</t>
  </si>
  <si>
    <t>Number of Units</t>
  </si>
  <si>
    <t>(3) Telephone (Landline)</t>
  </si>
  <si>
    <t>$169/mo. x 15% x 12 months</t>
  </si>
  <si>
    <t>(4) Amanda</t>
  </si>
  <si>
    <t>Unemployment</t>
  </si>
  <si>
    <t>Lupke Rice</t>
  </si>
  <si>
    <t>Liability Insurance</t>
  </si>
  <si>
    <t>Protects DAC from liability with programming</t>
  </si>
  <si>
    <t>Color</t>
  </si>
  <si>
    <t>CADCA Forum in DC 2023</t>
  </si>
  <si>
    <t>(4) Electricity AEP</t>
  </si>
  <si>
    <t>$200/month x 12 months x 15% allocation</t>
  </si>
  <si>
    <t>Health Insurance</t>
  </si>
  <si>
    <t>Ft. Wayne Newspapers</t>
  </si>
  <si>
    <t>PSA Media Campaign</t>
  </si>
  <si>
    <t>Targeted messaging and newspaper ads</t>
  </si>
  <si>
    <t>$500 per ad</t>
  </si>
  <si>
    <t>(4) Technology Updates and Support</t>
  </si>
  <si>
    <t>$76/day X 2 staff X 3 days = $456</t>
  </si>
  <si>
    <t>per diem</t>
  </si>
  <si>
    <t>(5) CADCA Dues</t>
  </si>
  <si>
    <t>$500 annual membership dues</t>
  </si>
  <si>
    <t xml:space="preserve">Travel </t>
  </si>
  <si>
    <t>Wellness Plan</t>
  </si>
  <si>
    <t>Various Platforms</t>
  </si>
  <si>
    <t>Focused Social Media Messaging</t>
  </si>
  <si>
    <t>Invoices</t>
  </si>
  <si>
    <t>(5) Community Training Supplies</t>
  </si>
  <si>
    <t>$57/first &amp; last day x 2 staff x 2 days = $228 (DC)</t>
  </si>
  <si>
    <t>Construction</t>
  </si>
  <si>
    <t>Dental, Vision, LBE/ABE</t>
  </si>
  <si>
    <t xml:space="preserve">$188/night X 2 rooms X 1 night (DC) - 3 other nights covered in match </t>
  </si>
  <si>
    <t>hotel</t>
  </si>
  <si>
    <t>Other</t>
  </si>
  <si>
    <t>Convention Registration Cost</t>
  </si>
  <si>
    <t>fee</t>
  </si>
  <si>
    <t>Total Direct Costs</t>
  </si>
  <si>
    <t>Flights + Baggage</t>
  </si>
  <si>
    <t>flights</t>
  </si>
  <si>
    <t>Indirect Costs</t>
  </si>
  <si>
    <t>Totals</t>
  </si>
  <si>
    <t>Out of State Travel Total</t>
  </si>
  <si>
    <t>Total Project Costs</t>
  </si>
  <si>
    <t>Total of In and Out of State Travel</t>
  </si>
  <si>
    <t>NON-FEDERAL MATCH</t>
  </si>
  <si>
    <t>NON FEDERAL MATCH</t>
  </si>
  <si>
    <t>Local</t>
  </si>
  <si>
    <t>Applicant</t>
  </si>
  <si>
    <t>Position</t>
  </si>
  <si>
    <t># of Hours</t>
  </si>
  <si>
    <t>Cost/Savings</t>
  </si>
  <si>
    <t>Match Amt</t>
  </si>
  <si>
    <t>Salaries &amp; Wages</t>
  </si>
  <si>
    <t>Finance Manager</t>
  </si>
  <si>
    <t>Volunteer Hours</t>
  </si>
  <si>
    <t>Prevention Coalition Meeting Attendance</t>
  </si>
  <si>
    <t>attendance</t>
  </si>
  <si>
    <t>Rental Discount</t>
  </si>
  <si>
    <t>10% NPO Discount</t>
  </si>
  <si>
    <t>Fringe Benefits</t>
  </si>
  <si>
    <t>Admin and Finance Meeting Attendance</t>
  </si>
  <si>
    <t>Mileage Match</t>
  </si>
  <si>
    <t>Mission Motherhood</t>
  </si>
  <si>
    <t>Match Balance DC 1 room x 4 nights</t>
  </si>
  <si>
    <t>Applicant TOTAL</t>
  </si>
  <si>
    <t>Stop Suicide Coalition</t>
  </si>
  <si>
    <t>Travel</t>
  </si>
  <si>
    <t>Local TOTAL</t>
  </si>
  <si>
    <t>Intervention Committee</t>
  </si>
  <si>
    <t>Total of Totals</t>
  </si>
  <si>
    <t>TOTAL TOTAL</t>
  </si>
  <si>
    <t>Overdose Fatality Reviews</t>
  </si>
  <si>
    <t>Interns</t>
  </si>
  <si>
    <t>2 masters 640, 3 undergrad 120= avg 250 hour per intern annually</t>
  </si>
  <si>
    <t>intern hours</t>
  </si>
  <si>
    <t>Dr. Dave Johnson</t>
  </si>
  <si>
    <t>Parkview</t>
  </si>
  <si>
    <t>Classes</t>
  </si>
  <si>
    <t>Mindful Mondays with Dr. Dave</t>
  </si>
  <si>
    <t>billing</t>
  </si>
  <si>
    <t>DAC LCC</t>
  </si>
  <si>
    <t>DFI Administration</t>
  </si>
  <si>
    <t>Coalition Management</t>
  </si>
  <si>
    <t>Portion of administrative grant provided to DAC to conduct the work of the coalition</t>
  </si>
  <si>
    <t>payment from auditor</t>
  </si>
  <si>
    <t>MOU Partners</t>
  </si>
  <si>
    <t>Prevention</t>
  </si>
  <si>
    <t xml:space="preserve">Grants provided to community groups to prevent the usage of alcohol and other drugs among youth   </t>
  </si>
  <si>
    <t>Kathleen</t>
  </si>
  <si>
    <t xml:space="preserve">Upstream Prevention </t>
  </si>
  <si>
    <t>Evaluation</t>
  </si>
  <si>
    <t>Utilization of evaluator-purchased specialty software</t>
  </si>
  <si>
    <t xml:space="preserve">Media </t>
  </si>
  <si>
    <t>Non-profit discount on media purchases</t>
  </si>
  <si>
    <t>Non-profit discount on accounting</t>
  </si>
  <si>
    <t>QB</t>
  </si>
  <si>
    <t>Quickbooks</t>
  </si>
  <si>
    <t>Software</t>
  </si>
  <si>
    <t>Non-profit discount via Tech Soup ($50/year for 6 users vs. normal price of $720/yr ($60/mo X 12 months))</t>
  </si>
  <si>
    <t>Payroll Software</t>
  </si>
  <si>
    <t>45% discount on each employee</t>
  </si>
  <si>
    <t>Adobe</t>
  </si>
  <si>
    <t>15% dicount on annual program fee</t>
  </si>
  <si>
    <t>Therapy Appointment</t>
  </si>
  <si>
    <t>30% Discount on documenation system for BSF</t>
  </si>
  <si>
    <t>Website Platform</t>
  </si>
  <si>
    <t>Wix</t>
  </si>
  <si>
    <t>4 pages TFAC DAC BSF SSNEI</t>
  </si>
  <si>
    <t>Office</t>
  </si>
  <si>
    <t>Office 365</t>
  </si>
  <si>
    <t>Non-profit discount via Tech Soup $144 ($24/yr X 6 users) vs. $900 ($12.50/mo X 6 users X 12 months)</t>
  </si>
  <si>
    <t xml:space="preserve">TOTALS </t>
  </si>
  <si>
    <t>Total Grant Budget Summary</t>
  </si>
  <si>
    <t>Total Amount</t>
  </si>
  <si>
    <t>A. Staffing Personnel</t>
  </si>
  <si>
    <t>B. Materials</t>
  </si>
  <si>
    <t>C. Other Costs</t>
  </si>
  <si>
    <t>TOTAL GRANT BUDGET</t>
  </si>
  <si>
    <t>Total Grant Budget:</t>
  </si>
  <si>
    <t>TOTAL GRANT AMOUNT REQUESTED FROM STATE</t>
  </si>
  <si>
    <t>Total Grant Amount Requested from State:</t>
  </si>
  <si>
    <t>TOTAL GRANT MATCH</t>
  </si>
  <si>
    <t>Total Grant Match:</t>
  </si>
  <si>
    <r>
      <t xml:space="preserve">Grant Match % of Total Grant Budget
</t>
    </r>
    <r>
      <rPr>
        <sz val="10"/>
        <color theme="1"/>
        <rFont val="Calibri Light"/>
        <family val="2"/>
        <scheme val="major"/>
      </rPr>
      <t>(Total Grant Match/Total Grant Budget)</t>
    </r>
  </si>
  <si>
    <t>A. Staffing Personnel (Please see the IMPORTANT NOTE ON BUDGET ITEMS above)</t>
  </si>
  <si>
    <t>Brief Description</t>
  </si>
  <si>
    <t>Hourly Wage Rate (including benefits)</t>
  </si>
  <si>
    <t>Estimated Number of Hours
Worked on 
Grant Activities in SFY23 (12 Months)</t>
  </si>
  <si>
    <t>Estimated Number of Hours
Worked on 
Grant Activities in SFY24 (12 Months)</t>
  </si>
  <si>
    <t>Estimated Number of Hours
Worked on 
Grant Activities in SFY25 (6 Months)</t>
  </si>
  <si>
    <t>Total Grant Budget for Personnel</t>
  </si>
  <si>
    <r>
      <t xml:space="preserve">Total Grant Amount for Personnel
Requested from State </t>
    </r>
    <r>
      <rPr>
        <i/>
        <sz val="10"/>
        <color theme="1"/>
        <rFont val="Calibri"/>
        <family val="2"/>
        <scheme val="minor"/>
      </rPr>
      <t>(These amounts will update once Grant Match tab is completed)</t>
    </r>
  </si>
  <si>
    <r>
      <t>Total Grant Amount 
for Personnel
Funded by Match</t>
    </r>
    <r>
      <rPr>
        <i/>
        <sz val="10"/>
        <color theme="1"/>
        <rFont val="Calibri"/>
        <family val="2"/>
        <scheme val="minor"/>
      </rPr>
      <t xml:space="preserve"> (These amounts will update once Grant Match tab is completed)</t>
    </r>
  </si>
  <si>
    <t>ex: Child Behavioral Therapist</t>
  </si>
  <si>
    <t xml:space="preserve">Salary of new behavioral therapist focused on children and adolscents hired to support the provision of therapy to an increased number of children. </t>
  </si>
  <si>
    <t>YEAR ONE</t>
  </si>
  <si>
    <t>YEAR TWO</t>
  </si>
  <si>
    <t>LAST 6 MONTHS</t>
  </si>
  <si>
    <t>Program Development and Succession Planning</t>
  </si>
  <si>
    <t>DAC CEO (.2FTE - .1FTE .05FTE)</t>
  </si>
  <si>
    <t>Salary of CEO overseeing all aspects of grant project</t>
  </si>
  <si>
    <t>Program Director (.5FTE - .25FTE - .15FTE)</t>
  </si>
  <si>
    <t>Salary and Benefits of programming and operations</t>
  </si>
  <si>
    <t>Development Specialist (.5 FTE - .25FTE - .15FTE)</t>
  </si>
  <si>
    <t xml:space="preserve">Marketing and Development </t>
  </si>
  <si>
    <t>On-Site Staff</t>
  </si>
  <si>
    <t>Youth Supervisor (1.0 FTE)</t>
  </si>
  <si>
    <t>Salary and Benefits for Youth Supervisor</t>
  </si>
  <si>
    <t>Youth and Young Adult Interns (.5FTE x 9 youth)</t>
  </si>
  <si>
    <t xml:space="preserve">Pay and Taxes for youth interns </t>
  </si>
  <si>
    <t>Clincal Program</t>
  </si>
  <si>
    <t>Ally Clinical Counseling</t>
  </si>
  <si>
    <t>Clinical Counseling Support, 2 hours per day, Tuesday-Saturday</t>
  </si>
  <si>
    <t>S&amp;W TOTAL</t>
  </si>
  <si>
    <t>Clincal Groupwork</t>
  </si>
  <si>
    <t>Research</t>
  </si>
  <si>
    <t>Research Director</t>
  </si>
  <si>
    <t>Salary and Benefits for lead researcher</t>
  </si>
  <si>
    <t>Research Interns</t>
  </si>
  <si>
    <t>Pay and Taxes for research assistants (2)</t>
  </si>
  <si>
    <t>CONTRACT TOTAL</t>
  </si>
  <si>
    <t>Total:</t>
  </si>
  <si>
    <t>Estimated Total Grant Budget for Materials in SFY23 (12 Months)</t>
  </si>
  <si>
    <t>Estimated Total Grant Budget for Materials in SFY24 (12 Months)</t>
  </si>
  <si>
    <t>Estimated Total Grant Budget for Materials in SFY25 (6 Months)</t>
  </si>
  <si>
    <t>Total Grant Budget for Materials</t>
  </si>
  <si>
    <r>
      <t xml:space="preserve">Total Grant Amount for 
 Materials
Requested from State
</t>
    </r>
    <r>
      <rPr>
        <i/>
        <sz val="10"/>
        <color theme="1"/>
        <rFont val="Calibri"/>
        <family val="2"/>
        <scheme val="minor"/>
      </rPr>
      <t>(These amounts will update once Grant Match tab is completed)</t>
    </r>
  </si>
  <si>
    <r>
      <t xml:space="preserve">Total Grant Amount for  Materials 
Funded by Match 
</t>
    </r>
    <r>
      <rPr>
        <i/>
        <sz val="10"/>
        <color theme="1"/>
        <rFont val="Calibri"/>
        <family val="2"/>
        <scheme val="minor"/>
      </rPr>
      <t>(These amounts will update once Grant Match tab is completed)</t>
    </r>
  </si>
  <si>
    <t>ex: Interactive Behavorial Therapy Games</t>
  </si>
  <si>
    <t>Interactive behavioral therapy games to help children develop communication, social awareness, relationship, and self-management skills.</t>
  </si>
  <si>
    <t>Bus Passes from Citilink</t>
  </si>
  <si>
    <t>Ticket to Ride $1.25 each way</t>
  </si>
  <si>
    <t xml:space="preserve">Bus Passes from Citilink </t>
  </si>
  <si>
    <t>All Day Pass $3</t>
  </si>
  <si>
    <t>Bus Passes from Citilink - 15 hour volunteer</t>
  </si>
  <si>
    <t>31-Day Pass $45</t>
  </si>
  <si>
    <t>Gas Cards</t>
  </si>
  <si>
    <t>$5 Gas Card x 1 way transportation</t>
  </si>
  <si>
    <t>C. Other Costs (Applicants are STRONGLY encouraged to review eligible and ineligible budget items prior to completing this section)</t>
  </si>
  <si>
    <t>Item Name</t>
  </si>
  <si>
    <t>Estimated Total Grant Budget for Other Costs in SFY23 (12 Months)</t>
  </si>
  <si>
    <t>Estimated Total Grant Budget for Other Costs in SFY24 (12 Months)</t>
  </si>
  <si>
    <t>Estimated Total Grant Budget for Other Costs in SFY25 (6 Months)</t>
  </si>
  <si>
    <t>Total Grant Budget for Other Costs</t>
  </si>
  <si>
    <r>
      <t xml:space="preserve">Total Grant Amount 
for Other Costs
Requested from State
</t>
    </r>
    <r>
      <rPr>
        <i/>
        <sz val="10"/>
        <color theme="1"/>
        <rFont val="Calibri"/>
        <family val="2"/>
        <scheme val="minor"/>
      </rPr>
      <t>(These amounts will update once Grant Match tab is completed)</t>
    </r>
  </si>
  <si>
    <r>
      <t xml:space="preserve">Total Grant Amount 
for Other Costs 
Funded by Match
</t>
    </r>
    <r>
      <rPr>
        <i/>
        <sz val="10"/>
        <color theme="1"/>
        <rFont val="Calibri"/>
        <family val="2"/>
        <scheme val="minor"/>
      </rPr>
      <t>(These amounts will update once Grant Match tab is completed)</t>
    </r>
  </si>
  <si>
    <t>Communications</t>
  </si>
  <si>
    <t>$300/month</t>
  </si>
  <si>
    <t>Utilities</t>
  </si>
  <si>
    <t>Community Match In-Kind</t>
  </si>
  <si>
    <t>Indiana Youth Group</t>
  </si>
  <si>
    <t>Program Development</t>
  </si>
  <si>
    <t>DAC Administrative Support</t>
  </si>
  <si>
    <t xml:space="preserve">Administrative Offices, Guidance, Payroll, Finance Management </t>
  </si>
  <si>
    <t xml:space="preserve">Allen County Department of Health </t>
  </si>
  <si>
    <t>STI/STD/Disease Prevention, Testing, Treatment</t>
  </si>
  <si>
    <t xml:space="preserve">Just Neighbors </t>
  </si>
  <si>
    <t>Housing and Shelter support</t>
  </si>
  <si>
    <t>project.ME</t>
  </si>
  <si>
    <t>Peer Support, Harm Reducation Edcuation, referral to MAT, transportation to SUD appointment</t>
  </si>
  <si>
    <t>Discounted Rate for Clinical Counseling</t>
  </si>
  <si>
    <t xml:space="preserve">Clinician Rate Discounted by $25 per session x </t>
  </si>
  <si>
    <t>Professional Community Volunteer Hours</t>
  </si>
  <si>
    <t>$24.69/hour times 450 hours of planning per calendar year</t>
  </si>
  <si>
    <t>2 Options, Wunderkammer &amp; City of Fort Wayne</t>
  </si>
  <si>
    <t xml:space="preserve">Space Rental/Occupancy of $15/sqft/year x 1500 square feet </t>
  </si>
  <si>
    <t>Grant Match</t>
  </si>
  <si>
    <t>Grant Cash Match Providing Entity</t>
  </si>
  <si>
    <t>Grant Match Amount</t>
  </si>
  <si>
    <t>Percent of Total Grant Budget</t>
  </si>
  <si>
    <t>ex: Plan 2021</t>
  </si>
  <si>
    <t>Total Grant Cash Match:</t>
  </si>
  <si>
    <t>Grant In-Kind Match Providing Entity</t>
  </si>
  <si>
    <t>Indiana Youth Group In-Kind Assistance</t>
  </si>
  <si>
    <t>DAC Administrative Support: Administrative Offices, Guidance, Payroll, Finance Management, Coordination</t>
  </si>
  <si>
    <t>Allen County Department of Health - STI/STD/Disease Prevention, Testing, Treatment</t>
  </si>
  <si>
    <t>Just Neighbors - Housing and Shelter support</t>
  </si>
  <si>
    <t>project.ME - Peer Support, Harm Reducation Edcuation, referral to MAT, transportation to SUD appointment</t>
  </si>
  <si>
    <t>Total Grant In-Kind Match:</t>
  </si>
  <si>
    <t>Expense</t>
  </si>
  <si>
    <t>CMCM</t>
  </si>
  <si>
    <t>TTHY</t>
  </si>
  <si>
    <t>Bienvenido</t>
  </si>
  <si>
    <t>Prime For Life</t>
  </si>
  <si>
    <t>Too Good for Drugs</t>
  </si>
  <si>
    <t>Project Alert</t>
  </si>
  <si>
    <t>President &amp; CEO</t>
  </si>
  <si>
    <t>Community Liaison</t>
  </si>
  <si>
    <t>Project Coordinator</t>
  </si>
  <si>
    <t>Prevention Specialist</t>
  </si>
  <si>
    <t>Data Specialist</t>
  </si>
  <si>
    <t>Population Specialist</t>
  </si>
  <si>
    <t>Finance Director</t>
  </si>
  <si>
    <t>Training Coordinator</t>
  </si>
  <si>
    <t>Clinical Manager</t>
  </si>
  <si>
    <t>BENEFITS AND TAXES</t>
  </si>
  <si>
    <t>"OTHER" CATEGORY SPLIT PERCENTAGES</t>
  </si>
  <si>
    <t>LEGAL AND PROFESSIONAL</t>
  </si>
  <si>
    <t>Auditors</t>
  </si>
  <si>
    <t>Contracts</t>
  </si>
  <si>
    <t>Technology Updates &amp; Support</t>
  </si>
  <si>
    <t>PROGRAM SPECIFIC</t>
  </si>
  <si>
    <t>MOU Payments for Partners</t>
  </si>
  <si>
    <t>n/a</t>
  </si>
  <si>
    <t>Program Supplies</t>
  </si>
  <si>
    <t>Program Curricula</t>
  </si>
  <si>
    <t xml:space="preserve">Incentives </t>
  </si>
  <si>
    <t xml:space="preserve">OFFICE  </t>
  </si>
  <si>
    <t>General Office</t>
  </si>
  <si>
    <t>Copies/Printing</t>
  </si>
  <si>
    <t>Postage &amp; Shipping</t>
  </si>
  <si>
    <t>Community Meetings</t>
  </si>
  <si>
    <t>Technology Equipment</t>
  </si>
  <si>
    <t>OCCUPANCY</t>
  </si>
  <si>
    <t>Rent (Lease)</t>
  </si>
  <si>
    <t>Utilities (Gas, Electric)</t>
  </si>
  <si>
    <t>CAMS &amp; Other Occupancy Expense</t>
  </si>
  <si>
    <t>Telephone, Internet, &amp; Communications</t>
  </si>
  <si>
    <t>TRAINING</t>
  </si>
  <si>
    <t>Total Non-Personnel</t>
  </si>
  <si>
    <t>Total Personnel</t>
  </si>
  <si>
    <t>Total Strategy</t>
  </si>
  <si>
    <t>% of Award</t>
  </si>
  <si>
    <t>Cost Per Participant</t>
  </si>
  <si>
    <t>GRAND TOTAL FOR CMCM</t>
  </si>
  <si>
    <t>GRAND TOTAL EBP STRATEGIES</t>
  </si>
  <si>
    <t>GRAND TOTAL NON-EBP STRATEGIES</t>
  </si>
  <si>
    <t>Overall Requested Funding:</t>
  </si>
  <si>
    <t>40% or less</t>
  </si>
  <si>
    <t>Strategies</t>
  </si>
  <si>
    <t>60% or more</t>
  </si>
  <si>
    <t>Strategies:</t>
  </si>
  <si>
    <t>Evidence based</t>
  </si>
  <si>
    <t>70% or more</t>
  </si>
  <si>
    <t>Non-Evidence based</t>
  </si>
  <si>
    <t>30% or less</t>
  </si>
  <si>
    <t>Total Award:</t>
  </si>
  <si>
    <t>Max CMCM:</t>
  </si>
  <si>
    <t>Min Strategy:</t>
  </si>
  <si>
    <t xml:space="preserve"> </t>
  </si>
  <si>
    <t>Attachment C:  Budget Template with Budget Justification</t>
  </si>
  <si>
    <t>Name of Organization:</t>
  </si>
  <si>
    <t>Allen County Drug &amp; Alcohol Consortium, Inc. AKA "DAC"</t>
  </si>
  <si>
    <t>Budget Period:</t>
  </si>
  <si>
    <t>July 1, 2022 to June 30, 2023</t>
  </si>
  <si>
    <r>
      <t xml:space="preserve">Do </t>
    </r>
    <r>
      <rPr>
        <b/>
        <i/>
        <u/>
        <sz val="20"/>
        <color rgb="FFFF0000"/>
        <rFont val="Raleway"/>
        <family val="2"/>
      </rPr>
      <t>not</t>
    </r>
    <r>
      <rPr>
        <b/>
        <i/>
        <sz val="16"/>
        <color theme="9"/>
        <rFont val="Raleway"/>
        <family val="2"/>
      </rPr>
      <t xml:space="preserve"> fill in the table below. This table will self-populate. Begin data entry  in Cell A-21 for Strategy #1.</t>
    </r>
  </si>
  <si>
    <t>Budget Category</t>
  </si>
  <si>
    <t>PREVENTION STRATEGY #1</t>
  </si>
  <si>
    <t>PREVENTION STRATEGY #2</t>
  </si>
  <si>
    <t>PREVENTION STRATEGY #3</t>
  </si>
  <si>
    <t>PREVENTION STRATEGY #4</t>
  </si>
  <si>
    <t>Salaries and Wages</t>
  </si>
  <si>
    <t>Consultants / Contracted Services</t>
  </si>
  <si>
    <t>Program Supplies / Materials</t>
  </si>
  <si>
    <t>Travel / Training</t>
  </si>
  <si>
    <t>Total Budget</t>
  </si>
  <si>
    <t>Anticipated Reach</t>
  </si>
  <si>
    <t>Cost per participant</t>
  </si>
  <si>
    <t>N.A.</t>
  </si>
  <si>
    <t>Name of Prevention Intervention</t>
  </si>
  <si>
    <t>WISE Direct Programming</t>
  </si>
  <si>
    <t>Salaries/ Wages &amp; Fringe Benefits</t>
  </si>
  <si>
    <t>Rationale/Justification</t>
  </si>
  <si>
    <t>Staff Position</t>
  </si>
  <si>
    <t>100% Salary
(a)</t>
  </si>
  <si>
    <t>100% Fringe Benefits (b)</t>
  </si>
  <si>
    <t>% of Time on Project (c)</t>
  </si>
  <si>
    <t>Total Amount of Salary Requested
(a x c)</t>
  </si>
  <si>
    <t>Total Amount of Benefits Requested
(b x c)</t>
  </si>
  <si>
    <t>Not used in this capacity. 0%</t>
  </si>
  <si>
    <t>Serves as Community Liaison and Prevention Specialist</t>
  </si>
  <si>
    <t>Serves as Director of Youth and Older Adult Initiatives, and WISE facilitator</t>
  </si>
  <si>
    <t>Serves as Director of Community Initiatives and Special Projects</t>
  </si>
  <si>
    <t>Serves as office assistant and WISE facilitator</t>
  </si>
  <si>
    <t>Consultants and/or Contracted Services</t>
  </si>
  <si>
    <t>Name</t>
  </si>
  <si>
    <t>Description of Services</t>
  </si>
  <si>
    <t>Amount Requested</t>
  </si>
  <si>
    <t>Anne Lawrence, RN</t>
  </si>
  <si>
    <t>Trained WISE Program Facilitator, RN; co-facilitates program with DAC team. Anne will participate in at least half of the WISE sessions in the next year. She is paid $35 per hour and classes are approximately 2.5 hours long.</t>
  </si>
  <si>
    <t>Varies, MOUs will be uploaded as they are established.</t>
  </si>
  <si>
    <t>Health and Wellness professionals, such as yoga and water arobics instructors, mindfulness, reiki, and other holistic wellness practitioners. Professionals will be paid based on their contracted rates, averaging $100 per class, with approximately half of the classes including a contractor.</t>
  </si>
  <si>
    <t>PSA/Media Campaign, marketing services, program promotion, brochures, reports, graphic design, printing and publications, social media , etc.</t>
  </si>
  <si>
    <t xml:space="preserve">Monthly financial statements, 990 preparation, payroll distribution, general accounting </t>
  </si>
  <si>
    <t>Agency total cost * OA Allocation * WISE Portion</t>
  </si>
  <si>
    <t>DWD (Auditors)</t>
  </si>
  <si>
    <t>Annual Financial Audit</t>
  </si>
  <si>
    <t>WM Imaging</t>
  </si>
  <si>
    <t>Copier Contract, includes ink, maintenance, priced per color/b&amp;w copy</t>
  </si>
  <si>
    <t>Technology Updates &amp; Support, Varies</t>
  </si>
  <si>
    <t>Adobe, Microsoft 365, Tech Support, Canva, Zoom, and other technology related contracted services</t>
  </si>
  <si>
    <t>Participant Incentives</t>
  </si>
  <si>
    <t>Programming Supplies</t>
  </si>
  <si>
    <t>Curricula Materials</t>
  </si>
  <si>
    <t>$10 per participant</t>
  </si>
  <si>
    <t>WISE Specific Session Materials</t>
  </si>
  <si>
    <t>N/A</t>
  </si>
  <si>
    <t>Travel/Training</t>
  </si>
  <si>
    <t>Training Name</t>
  </si>
  <si>
    <t>Sustainability</t>
  </si>
  <si>
    <t>1 night, Indianapolis area hotel, mileage, per diem</t>
  </si>
  <si>
    <t>Hotel $127, 260 miles x 0.585/mile = $152.10, Per diem $51.75*2</t>
  </si>
  <si>
    <t>Mental Health</t>
  </si>
  <si>
    <t>Prevention Skills Training</t>
  </si>
  <si>
    <t>4 nights, 5 days, Indianapolis area hotel, mileage, per diem</t>
  </si>
  <si>
    <t>Hotel $127, 260 miles x 0.585/mile = $152.10, Per diem $51.75*2 + $69*3</t>
  </si>
  <si>
    <t>Cultural Competency</t>
  </si>
  <si>
    <t>Data Collection</t>
  </si>
  <si>
    <t>Occupancy Expenses</t>
  </si>
  <si>
    <t>Rent, Maintenance, CAMs, Broadband, Telephone, Utilities</t>
  </si>
  <si>
    <t>General Office Supplies</t>
  </si>
  <si>
    <t>Paper, Writing and computing supplies, envelopes, organziational supplies, washroom supplies, cleaning supplies</t>
  </si>
  <si>
    <t>Postage/Shipping</t>
  </si>
  <si>
    <t xml:space="preserve">Stamps, shipping envelopes/boxes, shipping costs, </t>
  </si>
  <si>
    <t>Community Meeting Expenses</t>
  </si>
  <si>
    <t>Dues &amp; Subscriptions</t>
  </si>
  <si>
    <t xml:space="preserve">Professional organizations, </t>
  </si>
  <si>
    <t>Informational Campaign</t>
  </si>
  <si>
    <t>Oversees all programs and organization</t>
  </si>
  <si>
    <t>Serves as social media coordinator</t>
  </si>
  <si>
    <t>Oversees all financial operations</t>
  </si>
  <si>
    <t>Direct impact to environmental campaign objectives, not WISE or Coalition Specific.</t>
  </si>
  <si>
    <t>Agency total cost * OA Allocation * Info Camp Portion</t>
  </si>
  <si>
    <t>[Strategy Name]</t>
  </si>
  <si>
    <t>Community Mobilization and Coalition Management</t>
  </si>
  <si>
    <t>Agency total cost * OA Allocation * CMCM Portion</t>
  </si>
  <si>
    <t>Leadership Development</t>
  </si>
  <si>
    <t>2 people, 1 night, Indianapolis area hotel, mileage, per diem, registration</t>
  </si>
  <si>
    <t>Hotel $127, 260 miles x 0.585/mile = $152.10, Per diem $51.75*2 + $200 registration</t>
  </si>
  <si>
    <t>Prevention Outreach</t>
  </si>
  <si>
    <t>Hotel $127, 260 miles x 0.585/mile = $152.10, Per diem $51.75*2 + $400 registration</t>
  </si>
  <si>
    <t>Agency total cost * Full OA Allocation</t>
  </si>
  <si>
    <t>Amount Remaining</t>
  </si>
  <si>
    <t>Expenses</t>
  </si>
  <si>
    <t>Salaries</t>
  </si>
  <si>
    <t>Consultant</t>
  </si>
  <si>
    <t>Contractual</t>
  </si>
  <si>
    <t>Subtotal</t>
  </si>
  <si>
    <t>Attachment B:  Budget Narrative</t>
  </si>
  <si>
    <t>Allen County Drug and Alcohol Consortium  (DAC)</t>
  </si>
  <si>
    <t>Program Description:</t>
  </si>
  <si>
    <t>Mission: Motherhood</t>
  </si>
  <si>
    <t>7/1/2022-9/30/2023</t>
  </si>
  <si>
    <t>.5FTE $25/hour Coordinator</t>
  </si>
  <si>
    <t xml:space="preserve">19% benefit cost average </t>
  </si>
  <si>
    <t>Raise Retreat &amp; P3 Expenses</t>
  </si>
  <si>
    <t>2  hours a day, 2 days a week, see chart for options</t>
  </si>
  <si>
    <t>Diaper bank, emergency relief, etc. $6,400 year</t>
  </si>
  <si>
    <t>-</t>
  </si>
  <si>
    <t>Marketing/Outreach</t>
  </si>
  <si>
    <t>$175/month for mileage and two travel trainings at approximately $1,100 each</t>
  </si>
  <si>
    <t>Other Operating</t>
  </si>
  <si>
    <t>$800 per month</t>
  </si>
  <si>
    <t>Personnel Salaries</t>
  </si>
  <si>
    <t>Contracted Services</t>
  </si>
  <si>
    <t>Training/Education</t>
  </si>
  <si>
    <t>Rent/Utilities</t>
  </si>
  <si>
    <t>Communications/Technology</t>
  </si>
  <si>
    <r>
      <rPr>
        <b/>
        <sz val="10.5"/>
        <color rgb="FFF1584E"/>
        <rFont val="Arial"/>
        <family val="2"/>
      </rPr>
      <t>INSTRUCTIONS:</t>
    </r>
    <r>
      <rPr>
        <b/>
        <sz val="10.5"/>
        <color indexed="10"/>
        <rFont val="Arial"/>
        <family val="2"/>
      </rPr>
      <t xml:space="preserve">
</t>
    </r>
    <r>
      <rPr>
        <sz val="10.5"/>
        <rFont val="Arial"/>
        <family val="2"/>
      </rPr>
      <t xml:space="preserve">~ Provide a detailed breakdown of all expenses.  List each line item on your budget.
~ Enter amounts </t>
    </r>
    <r>
      <rPr>
        <b/>
        <u/>
        <sz val="10.5"/>
        <rFont val="Arial"/>
        <family val="2"/>
      </rPr>
      <t>ONLY</t>
    </r>
    <r>
      <rPr>
        <sz val="10.5"/>
        <rFont val="Arial"/>
        <family val="2"/>
      </rPr>
      <t xml:space="preserve"> in Column B (Total Grant Funding Total) and Column C (Organization/Other Funding)
   since the spreadsheet has formulas to auto calculate Column D (Total Expenses).
~ Organization/Other Funding column cannot include funding from any other TLF grant.
~ Insert rows as needed and delete extra rows. Use even dollar amounts only (no cents).</t>
    </r>
  </si>
  <si>
    <r>
      <rPr>
        <b/>
        <sz val="10.5"/>
        <color rgb="FFF1584E"/>
        <rFont val="Arial"/>
        <family val="2"/>
      </rPr>
      <t xml:space="preserve">REQUIRED:  
</t>
    </r>
    <r>
      <rPr>
        <sz val="10.5"/>
        <color rgb="FFF1584E"/>
        <rFont val="Arial"/>
        <family val="2"/>
      </rPr>
      <t xml:space="preserve">~ Column B (TLF Grant Funding Total) </t>
    </r>
    <r>
      <rPr>
        <b/>
        <u/>
        <sz val="10.5"/>
        <color rgb="FFF1584E"/>
        <rFont val="Arial"/>
        <family val="2"/>
      </rPr>
      <t>MUST</t>
    </r>
    <r>
      <rPr>
        <sz val="10.5"/>
        <color rgb="FFF1584E"/>
        <rFont val="Arial"/>
        <family val="2"/>
      </rPr>
      <t xml:space="preserve"> be the same amount as the "Request Amount" on the Application.
~ Column D (Total Expenses) </t>
    </r>
    <r>
      <rPr>
        <b/>
        <u/>
        <sz val="10.5"/>
        <color rgb="FFF1584E"/>
        <rFont val="Arial"/>
        <family val="2"/>
      </rPr>
      <t>MUST</t>
    </r>
    <r>
      <rPr>
        <sz val="10.5"/>
        <color rgb="FFF1584E"/>
        <rFont val="Arial"/>
        <family val="2"/>
      </rPr>
      <t xml:space="preserve"> be the same amount as the "Total Project Budget" on the Application.</t>
    </r>
  </si>
  <si>
    <t>Organization Name and City</t>
  </si>
  <si>
    <t xml:space="preserve">TLF Grant Funding requested is </t>
  </si>
  <si>
    <t>of the Total Expenses.</t>
  </si>
  <si>
    <t>Column A</t>
  </si>
  <si>
    <t>Column B</t>
  </si>
  <si>
    <t>Column C</t>
  </si>
  <si>
    <t>Column D</t>
  </si>
  <si>
    <t>TLF Grant Funding</t>
  </si>
  <si>
    <t>Organization/
Other Funding</t>
  </si>
  <si>
    <t>TOTAL EXPENSES</t>
  </si>
  <si>
    <t>In-Kind Expenses</t>
  </si>
  <si>
    <t>TOTAL IN-KIND EXPENSES</t>
  </si>
  <si>
    <t>Revenues</t>
  </si>
  <si>
    <t>Committed</t>
  </si>
  <si>
    <t>Pending</t>
  </si>
  <si>
    <t>TOTAL REVENUES</t>
  </si>
  <si>
    <t>In-Kind Revenues</t>
  </si>
  <si>
    <t>TOTAL IN-KIND REVENUES</t>
  </si>
  <si>
    <t>514 Administrative Services</t>
  </si>
  <si>
    <t>522.3 Therapy Individual</t>
  </si>
  <si>
    <t>522.4 Professional Development</t>
  </si>
  <si>
    <t xml:space="preserve">523 Media Contractor </t>
  </si>
  <si>
    <t>533 Technology, Updates, Support</t>
  </si>
  <si>
    <t>555 Salaries and Wages</t>
  </si>
  <si>
    <t>560 Taxes &amp; Benefits</t>
  </si>
  <si>
    <t>556 Staff Expense</t>
  </si>
  <si>
    <t>721 Staff Mileage</t>
  </si>
  <si>
    <t>722 Staff Travel, Meals, Conferences</t>
  </si>
  <si>
    <t>755 PSA Media Campaign</t>
  </si>
  <si>
    <t>756 Printing and Publications</t>
  </si>
  <si>
    <t>759 Advertising and Promotional Events</t>
  </si>
  <si>
    <t>800 General Office</t>
  </si>
  <si>
    <t>811 Community Meetings</t>
  </si>
  <si>
    <t>851 Occupancy Expense</t>
  </si>
  <si>
    <t>854 Telephone &amp; Communications</t>
  </si>
  <si>
    <t>780 Client or Partner Expense</t>
  </si>
  <si>
    <t xml:space="preserve">   Total 780 Client or Partner Expenses</t>
  </si>
  <si>
    <t>522.6 Group Coordination</t>
  </si>
  <si>
    <t>522.5 Group Therapy</t>
  </si>
  <si>
    <t>522.1 Clinical Triage</t>
  </si>
  <si>
    <t>522.2 Clinical Supervision</t>
  </si>
  <si>
    <t>782 Program Supplies (Groups)</t>
  </si>
  <si>
    <t xml:space="preserve">DAC Additional Financial Support </t>
  </si>
  <si>
    <t>Saint Joseph Community Health Foundation</t>
  </si>
  <si>
    <t>El Mexicano</t>
  </si>
  <si>
    <t>Colts Foundation "Fighting the Stigma"</t>
  </si>
  <si>
    <t xml:space="preserve">516 General Operating </t>
  </si>
  <si>
    <t>PFW Transportation $100 van rental fee, $20 Gas per trip</t>
  </si>
  <si>
    <t>El Mexicano ($500 paid per $2,500 spot) Discount 80% off Radio Spots</t>
  </si>
  <si>
    <t>George's International Store Adverts, Printing, Distribution</t>
  </si>
  <si>
    <t>Allen County Drug &amp; Alcohol Consortium, Inc. Fort Wayne</t>
  </si>
  <si>
    <t>FKA</t>
  </si>
  <si>
    <t>DAC Fiscal Agent</t>
  </si>
  <si>
    <t>Miscellaneous Expenses (Org/Other - Not TLF)</t>
  </si>
  <si>
    <t>Family Individual and Group Therapy</t>
  </si>
  <si>
    <t>MH Counselor Groups</t>
  </si>
  <si>
    <t>Therapy Appointment Software Suvscriptions</t>
  </si>
  <si>
    <t>Personnel, Project Director, Office Assistant</t>
  </si>
  <si>
    <t>Per diem, Hiring (drug tests, background checks, etc)</t>
  </si>
  <si>
    <t>Accomodations</t>
  </si>
  <si>
    <t xml:space="preserve">Marketing, Podcast, </t>
  </si>
  <si>
    <t>Copier Ink, Professional Printing</t>
  </si>
  <si>
    <t>2022 Latino Festival Sponsorship</t>
  </si>
  <si>
    <t xml:space="preserve">Presentations and Groups, </t>
  </si>
  <si>
    <t>Space Rental (CONNECT - Org/Other, Not TLF), 
Podcast Space (not this year)</t>
  </si>
  <si>
    <t>T-Mobile, Office Phone</t>
  </si>
  <si>
    <t xml:space="preserve">         522.1 BSF Clinical Triage</t>
  </si>
  <si>
    <t xml:space="preserve">         522.2 BSF Clinical Supervision</t>
  </si>
  <si>
    <t xml:space="preserve">         522.5 Group Therapy</t>
  </si>
  <si>
    <t xml:space="preserve">         522.6 Group Coordination</t>
  </si>
  <si>
    <t>556 Payroll Expenditures:Salaries &amp; Wages</t>
  </si>
  <si>
    <t>Budget vs. Actuals: FY_22_Update 7.27.22 - FY22 P&amp;L  Classes</t>
  </si>
  <si>
    <t>Prime for Life</t>
  </si>
  <si>
    <t>Talk They Hear You</t>
  </si>
  <si>
    <t>Too Good For Drugs</t>
  </si>
  <si>
    <t>WYSE</t>
  </si>
  <si>
    <t>Total DMHA CP</t>
  </si>
  <si>
    <t>Info Campaign</t>
  </si>
  <si>
    <t>WISE OA</t>
  </si>
  <si>
    <t>WRAP OA</t>
  </si>
  <si>
    <t>Total DMHA OA</t>
  </si>
  <si>
    <t>Total IDOH - MM</t>
  </si>
  <si>
    <t>Total IDOH - Title V/SSNEI</t>
  </si>
  <si>
    <t>project.ME (deleted)</t>
  </si>
  <si>
    <t>HRSO DAC Paid Expenses (deleted)</t>
  </si>
  <si>
    <t>Total project.ME (deleted)</t>
  </si>
  <si>
    <t>Not Specified</t>
  </si>
  <si>
    <t>Actual</t>
  </si>
  <si>
    <t xml:space="preserve">   411 Project ME (deleted)</t>
  </si>
  <si>
    <t xml:space="preserve">      460.1 Other Grants</t>
  </si>
  <si>
    <t xml:space="preserve">      460.2 Returned Grant</t>
  </si>
  <si>
    <t xml:space="preserve">   Total 460 Other Income</t>
  </si>
  <si>
    <t xml:space="preserve">   465 Purchase Refund</t>
  </si>
  <si>
    <t xml:space="preserve">   467 Unapplied Cash Payment Income</t>
  </si>
  <si>
    <t xml:space="preserve">         511.1 Bank Charges</t>
  </si>
  <si>
    <t xml:space="preserve">      523 Subcontractors</t>
  </si>
  <si>
    <t xml:space="preserve">         523.1 Evaluators</t>
  </si>
  <si>
    <t xml:space="preserve">         523.2 Contracted Services - Translation</t>
  </si>
  <si>
    <t xml:space="preserve">         523.3 Media Contractor</t>
  </si>
  <si>
    <t xml:space="preserve">      Total 523 Subcontractors</t>
  </si>
  <si>
    <t xml:space="preserve">         555.3 Paid time off</t>
  </si>
  <si>
    <t xml:space="preserve">         555.4 Staff Expense-1</t>
  </si>
  <si>
    <t xml:space="preserve">         555.5 OFR Facilitation</t>
  </si>
  <si>
    <t xml:space="preserve">         555.6 Insurance Company Co</t>
  </si>
  <si>
    <t xml:space="preserve">   556 Payroll Expenditures</t>
  </si>
  <si>
    <t xml:space="preserve">      Salaries &amp; Wages</t>
  </si>
  <si>
    <t xml:space="preserve">         Staff Expense-1</t>
  </si>
  <si>
    <t xml:space="preserve">      Total Salaries &amp; Wages</t>
  </si>
  <si>
    <t xml:space="preserve">   Total 556 Payroll Expenditures</t>
  </si>
  <si>
    <t xml:space="preserve">   558 Payroll Expenditures</t>
  </si>
  <si>
    <t xml:space="preserve">         OFR Facilitation</t>
  </si>
  <si>
    <t xml:space="preserve">   Total 558 Payroll Expenditures</t>
  </si>
  <si>
    <t xml:space="preserve">   559 Payroll Expenditures</t>
  </si>
  <si>
    <t xml:space="preserve">         Insurance Company Co</t>
  </si>
  <si>
    <t xml:space="preserve">   Total 559 Payroll Expenditures</t>
  </si>
  <si>
    <t xml:space="preserve">         653.1 Training &amp; Curriculum</t>
  </si>
  <si>
    <t xml:space="preserve">   780 Other Miscellaneous Service Cost</t>
  </si>
  <si>
    <t xml:space="preserve">      781 Partner Training or Travel</t>
  </si>
  <si>
    <t xml:space="preserve">      787 Client Expense</t>
  </si>
  <si>
    <t xml:space="preserve">   Total 780 Other Miscellaneous Service Cost</t>
  </si>
  <si>
    <t xml:space="preserve">      802 Dues, Subscriptions &amp; Memberships</t>
  </si>
  <si>
    <t xml:space="preserve">      811 Community Meetings - No Fed or State</t>
  </si>
  <si>
    <t>Friday, Dec 09, 2022 06:30:55 AM GMT-8 - Cash Basis</t>
  </si>
  <si>
    <t>FRINGE BENEFITS REFERENCE</t>
  </si>
  <si>
    <t>% of Salary</t>
  </si>
  <si>
    <t>511.1 Quickbook Payroll Accouting</t>
  </si>
  <si>
    <t>Payroll Expenses</t>
  </si>
  <si>
    <t>712.1 Wellness</t>
  </si>
  <si>
    <t>BRAVE Non-DMHA</t>
  </si>
  <si>
    <t xml:space="preserve">Therapy Software </t>
  </si>
  <si>
    <t>TPATH</t>
  </si>
  <si>
    <t>GAY MAGS</t>
  </si>
  <si>
    <t>DUES and SUBSCRIPTIONS</t>
  </si>
  <si>
    <t>NASW</t>
  </si>
  <si>
    <t xml:space="preserve">Lily </t>
  </si>
  <si>
    <t>Foellinger</t>
  </si>
  <si>
    <t>Surak Family</t>
  </si>
  <si>
    <t>Glaxo Smith Kline</t>
  </si>
  <si>
    <t>Sponsorships</t>
  </si>
  <si>
    <t>Foundations</t>
  </si>
  <si>
    <t>780 Client or Partner Expenses</t>
  </si>
  <si>
    <t xml:space="preserve">   713 Staff Wellness</t>
  </si>
  <si>
    <t>523 Subcontractors</t>
  </si>
  <si>
    <t xml:space="preserve"> 403 DMHA Revenue</t>
  </si>
  <si>
    <t xml:space="preserve"> 404 Foundation Funding</t>
  </si>
  <si>
    <t xml:space="preserve"> Total 404 Foundation Funding</t>
  </si>
  <si>
    <t xml:space="preserve"> 405 DFC Revenue</t>
  </si>
  <si>
    <t xml:space="preserve"> 406 DFI Revenue Once Annually</t>
  </si>
  <si>
    <t xml:space="preserve"> 409 IDOH Revenue</t>
  </si>
  <si>
    <t xml:space="preserve"> 410 Mission Motherhood (non-IDOH)</t>
  </si>
  <si>
    <t xml:space="preserve"> 415 Administrative Services Revenue</t>
  </si>
  <si>
    <t xml:space="preserve"> 420 Other Contributions</t>
  </si>
  <si>
    <t xml:space="preserve"> Total 420 Other Contributions</t>
  </si>
  <si>
    <t xml:space="preserve"> 450 Interest Income</t>
  </si>
  <si>
    <t xml:space="preserve"> 460 Other Income</t>
  </si>
  <si>
    <t xml:space="preserve"> 419 Other Grants</t>
  </si>
  <si>
    <t xml:space="preserve"> Total 460 Other Income</t>
  </si>
  <si>
    <t xml:space="preserve"> 465 Purchase Refund</t>
  </si>
  <si>
    <t xml:space="preserve"> 467 Unapplied Cash Payment Income</t>
  </si>
  <si>
    <t xml:space="preserve"> 510 Legal &amp; Professional</t>
  </si>
  <si>
    <t xml:space="preserve"> Total 510 Legal &amp; Professional</t>
  </si>
  <si>
    <t xml:space="preserve"> 550 Payroll Expenditures</t>
  </si>
  <si>
    <t xml:space="preserve"> Total 550 Payroll Expenditures</t>
  </si>
  <si>
    <t xml:space="preserve"> 650 DAC Grants &amp; Scholarships</t>
  </si>
  <si>
    <t xml:space="preserve"> Total 650 DAC Grants &amp; Scholarships</t>
  </si>
  <si>
    <t xml:space="preserve"> 710 Staff Training Expense</t>
  </si>
  <si>
    <t xml:space="preserve"> 712 Staff Expense Office</t>
  </si>
  <si>
    <t xml:space="preserve"> 713 Staff Wellness</t>
  </si>
  <si>
    <t xml:space="preserve"> 720 Travel</t>
  </si>
  <si>
    <t xml:space="preserve"> Total 720 Travel</t>
  </si>
  <si>
    <t xml:space="preserve"> 755 PSA/Media Campaign</t>
  </si>
  <si>
    <t xml:space="preserve"> Total 755 PSA/Media Campaign</t>
  </si>
  <si>
    <t xml:space="preserve"> Total 780 Client or Partner Expenses</t>
  </si>
  <si>
    <t xml:space="preserve"> 800 General Office</t>
  </si>
  <si>
    <t xml:space="preserve"> Total 800 General Office</t>
  </si>
  <si>
    <t xml:space="preserve"> 830 Miscellaneous</t>
  </si>
  <si>
    <t xml:space="preserve"> 831 Unapplied Cash Bill Payment Expense</t>
  </si>
  <si>
    <t xml:space="preserve"> 851 Occupancy Expense</t>
  </si>
  <si>
    <t xml:space="preserve"> Total 851 Occupancy Expense</t>
  </si>
  <si>
    <t xml:space="preserve"> 404.1 BSF Revenue TLF</t>
  </si>
  <si>
    <t xml:space="preserve"> 404.2 BSF Revenue SJF</t>
  </si>
  <si>
    <t xml:space="preserve"> 421 Fundraising</t>
  </si>
  <si>
    <t xml:space="preserve"> 460.2 Returned Grant</t>
  </si>
  <si>
    <t xml:space="preserve"> 511 Accounting</t>
  </si>
  <si>
    <t xml:space="preserve"> Total 511 Accounting</t>
  </si>
  <si>
    <t xml:space="preserve"> 512 Auditor (Finance)</t>
  </si>
  <si>
    <t xml:space="preserve"> 514 Administrative Services</t>
  </si>
  <si>
    <t xml:space="preserve"> 521 Evaluators</t>
  </si>
  <si>
    <t xml:space="preserve"> 522 Contract Employee</t>
  </si>
  <si>
    <t xml:space="preserve"> Total 522 Contract Employee</t>
  </si>
  <si>
    <t xml:space="preserve"> Total 523 Subcontractors</t>
  </si>
  <si>
    <t xml:space="preserve"> 526 MOU Payments for Partners (Non DFI)</t>
  </si>
  <si>
    <t xml:space="preserve"> 533 Technology Updates &amp; Support</t>
  </si>
  <si>
    <t xml:space="preserve"> 540 Liability Insurance</t>
  </si>
  <si>
    <t xml:space="preserve"> 555 Salaries &amp; Wages</t>
  </si>
  <si>
    <t xml:space="preserve"> Total 555 Salaries &amp; Wages</t>
  </si>
  <si>
    <t xml:space="preserve"> 560 Payroll Tax Expenses</t>
  </si>
  <si>
    <t xml:space="preserve"> Total 560 Payroll Tax Expenses</t>
  </si>
  <si>
    <t xml:space="preserve"> 565 Employee Benefits</t>
  </si>
  <si>
    <t xml:space="preserve"> Total 565 Employee Benefits</t>
  </si>
  <si>
    <t xml:space="preserve"> 651 Intervention Scholarships</t>
  </si>
  <si>
    <t xml:space="preserve"> 652 Justice Mini-Grants</t>
  </si>
  <si>
    <t xml:space="preserve"> 653 Prevention Mini-Grants</t>
  </si>
  <si>
    <t xml:space="preserve"> 711 Staff Expense</t>
  </si>
  <si>
    <t xml:space="preserve"> 721 Staff Mileage</t>
  </si>
  <si>
    <t xml:space="preserve"> 722 Staff Travel, Meals &amp; Conferences</t>
  </si>
  <si>
    <t xml:space="preserve"> 756 Printing &amp; Publications</t>
  </si>
  <si>
    <t xml:space="preserve"> 757 Social Media Marketing</t>
  </si>
  <si>
    <t xml:space="preserve"> 758 Media Supplies</t>
  </si>
  <si>
    <t xml:space="preserve"> 759 Advertising/Promo Events</t>
  </si>
  <si>
    <t xml:space="preserve"> 782 Program Supplies</t>
  </si>
  <si>
    <t xml:space="preserve"> 783 Program Curricula</t>
  </si>
  <si>
    <t xml:space="preserve"> 786 Incentives</t>
  </si>
  <si>
    <t xml:space="preserve"> 787 Direct Client Expenses</t>
  </si>
  <si>
    <t xml:space="preserve"> 801 Copies</t>
  </si>
  <si>
    <t xml:space="preserve"> 802 Dues &amp; subscriptions</t>
  </si>
  <si>
    <t xml:space="preserve"> 805 Supplies</t>
  </si>
  <si>
    <t xml:space="preserve"> 810 Postage &amp; Shipping</t>
  </si>
  <si>
    <t xml:space="preserve"> 811 Community Meetings</t>
  </si>
  <si>
    <t xml:space="preserve"> 852 Utilities</t>
  </si>
  <si>
    <t xml:space="preserve"> 854 Telephone &amp; Communications</t>
  </si>
  <si>
    <t xml:space="preserve"> 500 Bank Charges</t>
  </si>
  <si>
    <t xml:space="preserve"> 522.1 BSF Clinical Triage</t>
  </si>
  <si>
    <t xml:space="preserve"> 522.2 BSF Clinical Supervision</t>
  </si>
  <si>
    <t xml:space="preserve"> 522.3 BSF Therapy Services</t>
  </si>
  <si>
    <t xml:space="preserve"> 522.4 BSF PD</t>
  </si>
  <si>
    <t xml:space="preserve"> 522.5 Group Therapy</t>
  </si>
  <si>
    <t xml:space="preserve"> 522.6 Group Coordination</t>
  </si>
  <si>
    <t xml:space="preserve"> 523.3 Media Contractor</t>
  </si>
  <si>
    <t xml:space="preserve"> 523.4 Misc Contracts</t>
  </si>
  <si>
    <t xml:space="preserve"> 556 Staff Expense-1</t>
  </si>
  <si>
    <t xml:space="preserve"> 558 OFR Facilitation</t>
  </si>
  <si>
    <t xml:space="preserve"> 559 Insurance Company Co</t>
  </si>
  <si>
    <t xml:space="preserve"> 561 FICA Taxes</t>
  </si>
  <si>
    <t xml:space="preserve"> 562 Unemployment Taxes</t>
  </si>
  <si>
    <t xml:space="preserve"> 566 SIMPLE IRA Company Contributions</t>
  </si>
  <si>
    <t xml:space="preserve"> 567 Health Insurance Company Contributions</t>
  </si>
  <si>
    <t xml:space="preserve"> 569 Health Insurance</t>
  </si>
  <si>
    <t>2023 Budget Draft  12.9.2022</t>
  </si>
  <si>
    <t>MM (Non-IDOH)</t>
  </si>
  <si>
    <t>SSNEI (Non-IDOH)</t>
  </si>
  <si>
    <t>2022 BUDGET</t>
  </si>
  <si>
    <t>over Budget</t>
  </si>
  <si>
    <t>% of Budget</t>
  </si>
  <si>
    <t>2022 ACTUAL SPENT TO DATE</t>
  </si>
  <si>
    <t>Paper, Writing and computing supplies, envelopes, organizational supplies, washroom supplies, cleaning supplies</t>
  </si>
  <si>
    <t>2023 TOTAL BUDGET</t>
  </si>
  <si>
    <t>523.4 Consultants</t>
  </si>
  <si>
    <t>Budget Update</t>
  </si>
  <si>
    <t>Program Promotion and Event Management</t>
  </si>
  <si>
    <t>Client and Program Liaison, Group Coordination</t>
  </si>
  <si>
    <t xml:space="preserve">  </t>
  </si>
  <si>
    <t>Benefits Client and Program Liaison</t>
  </si>
  <si>
    <t>Marketing, Podcast, etc.</t>
  </si>
  <si>
    <t>Presentations and Groups</t>
  </si>
  <si>
    <t>Budget vs. Actuals: FY_22 Board Approved Annual Budget - FY22 P&amp;L  Classes</t>
  </si>
  <si>
    <t>HRSO DAC Paid Expenses</t>
  </si>
  <si>
    <t>Total project.ME</t>
  </si>
  <si>
    <t xml:space="preserve">   522 Contract Employee</t>
  </si>
  <si>
    <t xml:space="preserve">      522.1 BSF Admin</t>
  </si>
  <si>
    <t xml:space="preserve">      522.2 BSF Clinical Triage and Sup</t>
  </si>
  <si>
    <t xml:space="preserve">      522.3 BSF Therapy Services</t>
  </si>
  <si>
    <t xml:space="preserve">      522.4 BSF PD</t>
  </si>
  <si>
    <t xml:space="preserve">   Total 522 Contract Employee</t>
  </si>
  <si>
    <t xml:space="preserve">   523 Subcontractors</t>
  </si>
  <si>
    <t xml:space="preserve">      523.1 Evaluators</t>
  </si>
  <si>
    <t xml:space="preserve">      523.2 Contracted Services - Translation</t>
  </si>
  <si>
    <t xml:space="preserve">      523.3 Media Contractor</t>
  </si>
  <si>
    <t xml:space="preserve">      523.4 Consultants</t>
  </si>
  <si>
    <t xml:space="preserve">   Total 523 Subcontractors</t>
  </si>
  <si>
    <t xml:space="preserve">   540 Liability Insurance</t>
  </si>
  <si>
    <t xml:space="preserve">      654 MOU Payments for Partners (Non DFI)</t>
  </si>
  <si>
    <t xml:space="preserve">   720 Training and Travel</t>
  </si>
  <si>
    <t xml:space="preserve">      710 Staff Training Expense</t>
  </si>
  <si>
    <t xml:space="preserve">   Total 720 Training and Travel</t>
  </si>
  <si>
    <t xml:space="preserve">   780 Client or Partner Service Cost</t>
  </si>
  <si>
    <t xml:space="preserve">      783 Program Curricula and Training Supplies</t>
  </si>
  <si>
    <t xml:space="preserve">   Total 780 Client or Partner Service Cost</t>
  </si>
  <si>
    <t xml:space="preserve">      809 Staff Expense Office</t>
  </si>
  <si>
    <t>Friday, Feb 17, 2023 05:32:12 AM GMT-8 - Cash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</si>
</sst>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\$\ #,##0"/>
    <numFmt numFmtId="168" formatCode="\$#,##0"/>
    <numFmt numFmtId="169" formatCode="_([$$-409]* #,##0.00_);_([$$-409]* \(#,##0.00\);_([$$-409]* &quot;-&quot;??_);_(@_)"/>
    <numFmt numFmtId="170" formatCode="_(&quot;$&quot;* #,##0_);_(&quot;$&quot;* \(#,##0\);_(&quot;$&quot;* &quot;-&quot;??_);_(@_)"/>
    <numFmt numFmtId="171" formatCode="_(* #,##0_);_(* \(#,##0\);_(* &quot;-&quot;??_);_(@_)"/>
  </numFmts>
  <fonts count="79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Arial"/>
      <family val="2"/>
    </font>
    <font>
      <i/>
      <sz val="11"/>
      <color indexed="8"/>
      <name val="Calibri"/>
      <family val="2"/>
      <scheme val="minor"/>
    </font>
    <font>
      <b/>
      <sz val="22"/>
      <color theme="0"/>
      <name val="Raleway"/>
      <family val="2"/>
    </font>
    <font>
      <b/>
      <sz val="12"/>
      <name val="Raleway"/>
      <family val="2"/>
    </font>
    <font>
      <sz val="10"/>
      <color rgb="FF000000"/>
      <name val="Raleway"/>
      <family val="2"/>
    </font>
    <font>
      <b/>
      <sz val="16"/>
      <name val="Raleway"/>
      <family val="2"/>
    </font>
    <font>
      <sz val="12"/>
      <name val="Raleway"/>
      <family val="2"/>
    </font>
    <font>
      <b/>
      <i/>
      <sz val="16"/>
      <color theme="9"/>
      <name val="Raleway"/>
      <family val="2"/>
    </font>
    <font>
      <b/>
      <i/>
      <u/>
      <sz val="20"/>
      <color rgb="FFFF0000"/>
      <name val="Raleway"/>
      <family val="2"/>
    </font>
    <font>
      <b/>
      <sz val="11"/>
      <name val="Raleway"/>
      <family val="2"/>
    </font>
    <font>
      <b/>
      <sz val="11"/>
      <color theme="0"/>
      <name val="Raleway"/>
      <family val="2"/>
    </font>
    <font>
      <b/>
      <sz val="14"/>
      <color theme="0"/>
      <name val="Raleway"/>
      <family val="2"/>
    </font>
    <font>
      <b/>
      <sz val="20"/>
      <color theme="0"/>
      <name val="Raleway"/>
      <family val="2"/>
    </font>
    <font>
      <b/>
      <sz val="12"/>
      <color theme="0"/>
      <name val="Raleway"/>
      <family val="2"/>
    </font>
    <font>
      <sz val="11"/>
      <color rgb="FF000000"/>
      <name val="Raleway"/>
      <family val="2"/>
    </font>
    <font>
      <sz val="11"/>
      <name val="Raleway"/>
      <family val="2"/>
    </font>
    <font>
      <b/>
      <sz val="11"/>
      <color rgb="FF000000"/>
      <name val="Raleway"/>
      <family val="2"/>
    </font>
    <font>
      <i/>
      <sz val="11"/>
      <name val="Raleway"/>
      <family val="2"/>
    </font>
    <font>
      <b/>
      <sz val="10"/>
      <color rgb="FF000000"/>
      <name val="Raleway"/>
      <family val="2"/>
    </font>
    <font>
      <b/>
      <sz val="10"/>
      <name val="Raleway"/>
      <family val="2"/>
    </font>
    <font>
      <sz val="10"/>
      <name val="Raleway"/>
      <family val="2"/>
    </font>
    <font>
      <i/>
      <sz val="10"/>
      <color rgb="FF000000"/>
      <name val="Raleway"/>
      <family val="2"/>
    </font>
    <font>
      <b/>
      <sz val="11"/>
      <name val="Calibri Light"/>
      <family val="1"/>
      <scheme val="major"/>
    </font>
    <font>
      <b/>
      <sz val="9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26"/>
      <name val="Arial"/>
      <family val="2"/>
    </font>
    <font>
      <sz val="40"/>
      <name val="Arial"/>
      <family val="2"/>
    </font>
    <font>
      <sz val="12"/>
      <name val="Arial"/>
      <family val="2"/>
    </font>
    <font>
      <sz val="10.5"/>
      <color rgb="FFFF0000"/>
      <name val="Arial"/>
      <family val="2"/>
    </font>
    <font>
      <b/>
      <sz val="10.5"/>
      <color rgb="FFF1584E"/>
      <name val="Arial"/>
      <family val="2"/>
    </font>
    <font>
      <b/>
      <sz val="10.5"/>
      <color indexed="10"/>
      <name val="Arial"/>
      <family val="2"/>
    </font>
    <font>
      <sz val="10.5"/>
      <name val="Arial"/>
      <family val="2"/>
    </font>
    <font>
      <b/>
      <u/>
      <sz val="10.5"/>
      <name val="Arial"/>
      <family val="2"/>
    </font>
    <font>
      <sz val="10.5"/>
      <color rgb="FFF1584E"/>
      <name val="Arial"/>
      <family val="2"/>
    </font>
    <font>
      <b/>
      <u/>
      <sz val="10.5"/>
      <color rgb="FFF1584E"/>
      <name val="Arial"/>
      <family val="2"/>
    </font>
    <font>
      <b/>
      <sz val="12"/>
      <color rgb="FFF1584E"/>
      <name val="Arial"/>
      <family val="2"/>
    </font>
    <font>
      <b/>
      <sz val="12"/>
      <name val="Arial"/>
      <family val="2"/>
    </font>
    <font>
      <sz val="11"/>
      <color rgb="FFF1584E"/>
      <name val="Arial"/>
      <family val="2"/>
    </font>
    <font>
      <sz val="11"/>
      <color rgb="FF0000CC"/>
      <name val="Arial"/>
      <family val="2"/>
    </font>
    <font>
      <sz val="12"/>
      <name val="Century Gothic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rgb="FF7F7F7F"/>
      <name val="Arial Narrow"/>
      <family val="2"/>
    </font>
    <font>
      <b/>
      <sz val="9"/>
      <color theme="0"/>
      <name val="Arial Narrow"/>
      <family val="2"/>
    </font>
    <font>
      <b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i/>
      <sz val="9"/>
      <color indexed="8"/>
      <name val="Arial Narrow"/>
      <family val="2"/>
    </font>
    <font>
      <sz val="8"/>
      <color indexed="8"/>
      <name val="Arial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3FFFF"/>
        <bgColor indexed="64"/>
      </patternFill>
    </fill>
    <fill>
      <patternFill patternType="solid">
        <fgColor rgb="FFFFFF8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1EFE5"/>
        <bgColor indexed="64"/>
      </patternFill>
    </fill>
    <fill>
      <patternFill patternType="solid">
        <fgColor rgb="FFC8F8F3"/>
        <bgColor indexed="64"/>
      </patternFill>
    </fill>
    <fill>
      <patternFill patternType="solid">
        <fgColor rgb="FFAB9AEA"/>
        <bgColor indexed="64"/>
      </patternFill>
    </fill>
    <fill>
      <patternFill patternType="solid">
        <fgColor rgb="FFDFD9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C5B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2AC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9BFA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584E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EBEBE"/>
      </left>
      <right/>
      <top/>
      <bottom/>
      <diagonal/>
    </border>
    <border>
      <left/>
      <right style="thin">
        <color rgb="FFBEBEBE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BEBEBE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808285"/>
      </left>
      <right style="thin">
        <color rgb="FF808285"/>
      </right>
      <top/>
      <bottom style="thin">
        <color rgb="FF808285"/>
      </bottom>
      <diagonal/>
    </border>
    <border>
      <left style="thin">
        <color rgb="FF808285"/>
      </left>
      <right style="thin">
        <color rgb="FF808285"/>
      </right>
      <top style="thin">
        <color rgb="FF808285"/>
      </top>
      <bottom style="thin">
        <color rgb="FF808285"/>
      </bottom>
      <diagonal/>
    </border>
    <border>
      <left style="thin">
        <color rgb="FF808285"/>
      </left>
      <right/>
      <top style="thin">
        <color rgb="FF808285"/>
      </top>
      <bottom style="thin">
        <color rgb="FF808285"/>
      </bottom>
      <diagonal/>
    </border>
    <border>
      <left/>
      <right/>
      <top style="thin">
        <color rgb="FF808285"/>
      </top>
      <bottom style="thin">
        <color rgb="FF808285"/>
      </bottom>
      <diagonal/>
    </border>
    <border>
      <left/>
      <right style="thin">
        <color rgb="FF808285"/>
      </right>
      <top style="thin">
        <color rgb="FF808285"/>
      </top>
      <bottom style="thin">
        <color rgb="FF808285"/>
      </bottom>
      <diagonal/>
    </border>
    <border>
      <left style="thin">
        <color rgb="FF808285"/>
      </left>
      <right style="thin">
        <color indexed="64"/>
      </right>
      <top style="thin">
        <color rgb="FF808285"/>
      </top>
      <bottom style="thin">
        <color rgb="FF808285"/>
      </bottom>
      <diagonal/>
    </border>
    <border>
      <left style="thin">
        <color indexed="64"/>
      </left>
      <right style="thin">
        <color rgb="FF808285"/>
      </right>
      <top style="thin">
        <color rgb="FF808285"/>
      </top>
      <bottom style="thin">
        <color rgb="FF808285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3" applyNumberFormat="0" applyAlignment="0" applyProtection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7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44" fontId="10" fillId="10" borderId="8" xfId="1" applyFont="1" applyFill="1" applyBorder="1" applyAlignment="1" applyProtection="1">
      <alignment horizontal="right" vertical="center"/>
    </xf>
    <xf numFmtId="44" fontId="13" fillId="4" borderId="8" xfId="1" applyFont="1" applyFill="1" applyBorder="1" applyAlignment="1" applyProtection="1">
      <alignment horizontal="center" vertical="center" wrapText="1"/>
    </xf>
    <xf numFmtId="44" fontId="10" fillId="11" borderId="8" xfId="1" applyFont="1" applyFill="1" applyBorder="1" applyAlignment="1" applyProtection="1">
      <alignment horizontal="center" vertical="center"/>
      <protection locked="0"/>
    </xf>
    <xf numFmtId="44" fontId="11" fillId="8" borderId="0" xfId="1" applyFont="1" applyFill="1" applyBorder="1" applyAlignment="1" applyProtection="1">
      <alignment horizontal="center" vertical="center"/>
    </xf>
    <xf numFmtId="44" fontId="11" fillId="10" borderId="11" xfId="1" applyFont="1" applyFill="1" applyBorder="1" applyAlignment="1" applyProtection="1">
      <alignment horizontal="center" vertical="center"/>
    </xf>
    <xf numFmtId="44" fontId="14" fillId="10" borderId="11" xfId="1" applyFont="1" applyFill="1" applyBorder="1"/>
    <xf numFmtId="44" fontId="13" fillId="11" borderId="8" xfId="1" applyFont="1" applyFill="1" applyBorder="1" applyAlignment="1" applyProtection="1">
      <alignment horizontal="center" vertical="center"/>
      <protection locked="0"/>
    </xf>
    <xf numFmtId="44" fontId="10" fillId="11" borderId="9" xfId="1" applyFont="1" applyFill="1" applyBorder="1" applyAlignment="1" applyProtection="1">
      <alignment horizontal="center" vertical="center"/>
      <protection locked="0"/>
    </xf>
    <xf numFmtId="44" fontId="13" fillId="11" borderId="9" xfId="1" applyFont="1" applyFill="1" applyBorder="1" applyAlignment="1" applyProtection="1">
      <alignment horizontal="center" vertical="center"/>
      <protection locked="0"/>
    </xf>
    <xf numFmtId="44" fontId="18" fillId="10" borderId="8" xfId="1" applyFont="1" applyFill="1" applyBorder="1" applyAlignment="1" applyProtection="1">
      <alignment horizontal="right" vertical="center"/>
    </xf>
    <xf numFmtId="44" fontId="18" fillId="11" borderId="8" xfId="1" applyFont="1" applyFill="1" applyBorder="1" applyAlignment="1" applyProtection="1">
      <alignment horizontal="center" vertical="center"/>
      <protection locked="0"/>
    </xf>
    <xf numFmtId="44" fontId="18" fillId="11" borderId="9" xfId="1" applyFont="1" applyFill="1" applyBorder="1" applyAlignment="1" applyProtection="1">
      <alignment horizontal="center" vertical="center"/>
      <protection locked="0"/>
    </xf>
    <xf numFmtId="44" fontId="18" fillId="11" borderId="10" xfId="1" applyFont="1" applyFill="1" applyBorder="1" applyAlignment="1" applyProtection="1">
      <alignment horizontal="center" vertical="center"/>
      <protection locked="0"/>
    </xf>
    <xf numFmtId="44" fontId="19" fillId="10" borderId="11" xfId="1" applyFont="1" applyFill="1" applyBorder="1" applyAlignment="1" applyProtection="1">
      <alignment horizontal="center" vertical="center"/>
    </xf>
    <xf numFmtId="44" fontId="19" fillId="10" borderId="8" xfId="1" applyFont="1" applyFill="1" applyBorder="1" applyAlignment="1" applyProtection="1">
      <alignment horizontal="center" vertical="center"/>
    </xf>
    <xf numFmtId="44" fontId="7" fillId="4" borderId="8" xfId="1" applyFont="1" applyFill="1" applyBorder="1" applyAlignment="1">
      <alignment horizontal="center" vertical="center" wrapText="1"/>
    </xf>
    <xf numFmtId="44" fontId="0" fillId="4" borderId="13" xfId="1" applyFont="1" applyFill="1" applyBorder="1"/>
    <xf numFmtId="44" fontId="0" fillId="4" borderId="11" xfId="1" applyFont="1" applyFill="1" applyBorder="1"/>
    <xf numFmtId="44" fontId="0" fillId="4" borderId="8" xfId="1" applyFont="1" applyFill="1" applyBorder="1"/>
    <xf numFmtId="44" fontId="0" fillId="0" borderId="0" xfId="1" applyFont="1"/>
    <xf numFmtId="44" fontId="0" fillId="0" borderId="0" xfId="1" applyFont="1" applyAlignment="1">
      <alignment wrapText="1"/>
    </xf>
    <xf numFmtId="44" fontId="2" fillId="0" borderId="0" xfId="1" applyFont="1" applyAlignment="1">
      <alignment horizontal="left" wrapText="1"/>
    </xf>
    <xf numFmtId="44" fontId="7" fillId="4" borderId="6" xfId="1" applyFont="1" applyFill="1" applyBorder="1"/>
    <xf numFmtId="44" fontId="0" fillId="0" borderId="8" xfId="1" applyFont="1" applyBorder="1" applyAlignment="1">
      <alignment horizontal="left"/>
    </xf>
    <xf numFmtId="44" fontId="7" fillId="0" borderId="0" xfId="1" applyFont="1" applyAlignment="1">
      <alignment horizontal="right"/>
    </xf>
    <xf numFmtId="44" fontId="8" fillId="0" borderId="0" xfId="1" applyFont="1"/>
    <xf numFmtId="44" fontId="19" fillId="8" borderId="0" xfId="1" applyFont="1" applyFill="1" applyAlignment="1" applyProtection="1">
      <alignment horizontal="left" vertical="center"/>
      <protection hidden="1"/>
    </xf>
    <xf numFmtId="44" fontId="19" fillId="9" borderId="8" xfId="1" applyFont="1" applyFill="1" applyBorder="1" applyAlignment="1" applyProtection="1">
      <alignment horizontal="center" vertical="center"/>
      <protection hidden="1"/>
    </xf>
    <xf numFmtId="44" fontId="18" fillId="4" borderId="8" xfId="1" applyFont="1" applyFill="1" applyBorder="1" applyAlignment="1" applyProtection="1">
      <alignment horizontal="left" vertical="center" wrapText="1"/>
      <protection hidden="1"/>
    </xf>
    <xf numFmtId="44" fontId="18" fillId="10" borderId="8" xfId="1" applyFont="1" applyFill="1" applyBorder="1" applyAlignment="1" applyProtection="1">
      <alignment horizontal="right" vertical="center"/>
      <protection hidden="1"/>
    </xf>
    <xf numFmtId="44" fontId="18" fillId="4" borderId="9" xfId="1" applyFont="1" applyFill="1" applyBorder="1" applyAlignment="1" applyProtection="1">
      <alignment horizontal="left" vertical="center" wrapText="1"/>
      <protection hidden="1"/>
    </xf>
    <xf numFmtId="44" fontId="18" fillId="10" borderId="9" xfId="1" applyFont="1" applyFill="1" applyBorder="1" applyAlignment="1" applyProtection="1">
      <alignment horizontal="right" vertical="center"/>
      <protection hidden="1"/>
    </xf>
    <xf numFmtId="44" fontId="18" fillId="4" borderId="10" xfId="1" applyFont="1" applyFill="1" applyBorder="1" applyAlignment="1" applyProtection="1">
      <alignment horizontal="left" vertical="center" wrapText="1"/>
      <protection hidden="1"/>
    </xf>
    <xf numFmtId="44" fontId="18" fillId="10" borderId="10" xfId="1" applyFont="1" applyFill="1" applyBorder="1" applyAlignment="1" applyProtection="1">
      <alignment horizontal="right" vertical="center"/>
      <protection hidden="1"/>
    </xf>
    <xf numFmtId="44" fontId="19" fillId="4" borderId="11" xfId="1" applyFont="1" applyFill="1" applyBorder="1" applyAlignment="1" applyProtection="1">
      <alignment horizontal="left" vertical="center" wrapText="1"/>
      <protection hidden="1"/>
    </xf>
    <xf numFmtId="44" fontId="19" fillId="10" borderId="11" xfId="1" applyFont="1" applyFill="1" applyBorder="1" applyAlignment="1" applyProtection="1">
      <alignment horizontal="right" vertical="center"/>
      <protection hidden="1"/>
    </xf>
    <xf numFmtId="44" fontId="10" fillId="4" borderId="8" xfId="1" applyFont="1" applyFill="1" applyBorder="1" applyAlignment="1" applyProtection="1">
      <alignment horizontal="right" vertical="center" wrapText="1"/>
      <protection hidden="1"/>
    </xf>
    <xf numFmtId="44" fontId="19" fillId="4" borderId="8" xfId="1" applyFont="1" applyFill="1" applyBorder="1" applyAlignment="1" applyProtection="1">
      <alignment horizontal="left" vertical="center" wrapText="1" indent="1"/>
      <protection hidden="1"/>
    </xf>
    <xf numFmtId="44" fontId="19" fillId="10" borderId="8" xfId="1" applyFont="1" applyFill="1" applyBorder="1" applyAlignment="1" applyProtection="1">
      <alignment horizontal="right" vertical="center"/>
      <protection hidden="1"/>
    </xf>
    <xf numFmtId="44" fontId="19" fillId="4" borderId="12" xfId="1" applyFont="1" applyFill="1" applyBorder="1" applyAlignment="1" applyProtection="1">
      <alignment horizontal="left" vertical="center" wrapText="1" indent="1"/>
      <protection hidden="1"/>
    </xf>
    <xf numFmtId="44" fontId="19" fillId="10" borderId="12" xfId="1" applyFont="1" applyFill="1" applyBorder="1" applyAlignment="1" applyProtection="1">
      <alignment horizontal="right" vertical="center"/>
      <protection hidden="1"/>
    </xf>
    <xf numFmtId="44" fontId="18" fillId="10" borderId="11" xfId="1" applyFont="1" applyFill="1" applyBorder="1" applyAlignment="1" applyProtection="1">
      <alignment horizontal="right" vertical="center"/>
      <protection hidden="1"/>
    </xf>
    <xf numFmtId="44" fontId="10" fillId="8" borderId="0" xfId="1" applyFont="1" applyFill="1" applyAlignment="1">
      <alignment vertical="center"/>
    </xf>
    <xf numFmtId="44" fontId="11" fillId="8" borderId="1" xfId="1" applyFont="1" applyFill="1" applyBorder="1" applyAlignment="1">
      <alignment vertical="center"/>
    </xf>
    <xf numFmtId="44" fontId="11" fillId="8" borderId="1" xfId="1" applyFont="1" applyFill="1" applyBorder="1" applyAlignment="1">
      <alignment vertical="center" wrapText="1"/>
    </xf>
    <xf numFmtId="44" fontId="10" fillId="8" borderId="0" xfId="1" applyFont="1" applyFill="1" applyAlignment="1">
      <alignment horizontal="left" vertical="center" wrapText="1"/>
    </xf>
    <xf numFmtId="44" fontId="12" fillId="8" borderId="0" xfId="1" applyFont="1" applyFill="1" applyAlignment="1">
      <alignment horizontal="left" vertical="center"/>
    </xf>
    <xf numFmtId="44" fontId="10" fillId="8" borderId="0" xfId="1" applyFont="1" applyFill="1"/>
    <xf numFmtId="44" fontId="11" fillId="4" borderId="8" xfId="1" applyFont="1" applyFill="1" applyBorder="1" applyAlignment="1">
      <alignment horizontal="center" vertical="center" wrapText="1"/>
    </xf>
    <xf numFmtId="44" fontId="11" fillId="6" borderId="8" xfId="1" applyFont="1" applyFill="1" applyBorder="1" applyAlignment="1">
      <alignment horizontal="center" vertical="center" wrapText="1"/>
    </xf>
    <xf numFmtId="44" fontId="13" fillId="4" borderId="8" xfId="1" applyFont="1" applyFill="1" applyBorder="1" applyAlignment="1">
      <alignment horizontal="left" vertical="center" wrapText="1"/>
    </xf>
    <xf numFmtId="44" fontId="13" fillId="4" borderId="11" xfId="1" applyFont="1" applyFill="1" applyBorder="1" applyAlignment="1">
      <alignment horizontal="left" vertical="center" wrapText="1"/>
    </xf>
    <xf numFmtId="44" fontId="13" fillId="4" borderId="8" xfId="1" applyFont="1" applyFill="1" applyBorder="1" applyAlignment="1">
      <alignment horizontal="center" vertical="center" wrapText="1"/>
    </xf>
    <xf numFmtId="44" fontId="13" fillId="4" borderId="11" xfId="1" applyFont="1" applyFill="1" applyBorder="1" applyAlignment="1">
      <alignment horizontal="right" vertical="center" wrapText="1"/>
    </xf>
    <xf numFmtId="44" fontId="13" fillId="6" borderId="8" xfId="1" applyFont="1" applyFill="1" applyBorder="1" applyAlignment="1">
      <alignment horizontal="center" vertical="center"/>
    </xf>
    <xf numFmtId="44" fontId="11" fillId="11" borderId="8" xfId="1" applyFont="1" applyFill="1" applyBorder="1" applyAlignment="1" applyProtection="1">
      <alignment horizontal="left" vertical="center" wrapText="1"/>
      <protection locked="0"/>
    </xf>
    <xf numFmtId="44" fontId="10" fillId="11" borderId="11" xfId="1" applyFont="1" applyFill="1" applyBorder="1" applyAlignment="1" applyProtection="1">
      <alignment horizontal="left" vertical="center" wrapText="1"/>
      <protection locked="0"/>
    </xf>
    <xf numFmtId="44" fontId="10" fillId="11" borderId="11" xfId="1" applyFont="1" applyFill="1" applyBorder="1" applyAlignment="1" applyProtection="1">
      <alignment horizontal="right" vertical="center"/>
      <protection locked="0"/>
    </xf>
    <xf numFmtId="44" fontId="13" fillId="10" borderId="8" xfId="1" applyFont="1" applyFill="1" applyBorder="1" applyAlignment="1">
      <alignment horizontal="center" vertical="center"/>
    </xf>
    <xf numFmtId="44" fontId="10" fillId="10" borderId="8" xfId="1" applyFont="1" applyFill="1" applyBorder="1" applyAlignment="1">
      <alignment horizontal="center" vertical="center"/>
    </xf>
    <xf numFmtId="44" fontId="10" fillId="11" borderId="8" xfId="1" applyFont="1" applyFill="1" applyBorder="1" applyAlignment="1" applyProtection="1">
      <alignment horizontal="left" vertical="center" wrapText="1"/>
      <protection locked="0"/>
    </xf>
    <xf numFmtId="44" fontId="13" fillId="10" borderId="10" xfId="1" applyFont="1" applyFill="1" applyBorder="1" applyAlignment="1">
      <alignment horizontal="center" vertical="center"/>
    </xf>
    <xf numFmtId="44" fontId="10" fillId="10" borderId="10" xfId="1" applyFont="1" applyFill="1" applyBorder="1" applyAlignment="1">
      <alignment horizontal="center" vertical="center"/>
    </xf>
    <xf numFmtId="44" fontId="11" fillId="8" borderId="0" xfId="1" applyFont="1" applyFill="1" applyAlignment="1">
      <alignment horizontal="right" vertical="center"/>
    </xf>
    <xf numFmtId="44" fontId="11" fillId="10" borderId="11" xfId="1" applyFont="1" applyFill="1" applyBorder="1" applyAlignment="1">
      <alignment horizontal="center" vertical="center"/>
    </xf>
    <xf numFmtId="44" fontId="10" fillId="8" borderId="0" xfId="1" applyFont="1" applyFill="1" applyAlignment="1">
      <alignment vertical="center" wrapText="1"/>
    </xf>
    <xf numFmtId="44" fontId="11" fillId="8" borderId="0" xfId="1" applyFont="1" applyFill="1" applyAlignment="1">
      <alignment vertical="center"/>
    </xf>
    <xf numFmtId="44" fontId="12" fillId="8" borderId="0" xfId="1" applyFont="1" applyFill="1" applyAlignment="1">
      <alignment vertical="center"/>
    </xf>
    <xf numFmtId="44" fontId="12" fillId="0" borderId="0" xfId="1" applyFont="1" applyAlignment="1">
      <alignment vertical="center"/>
    </xf>
    <xf numFmtId="44" fontId="10" fillId="0" borderId="0" xfId="1" applyFont="1" applyAlignment="1">
      <alignment vertical="center"/>
    </xf>
    <xf numFmtId="44" fontId="10" fillId="8" borderId="2" xfId="1" applyFont="1" applyFill="1" applyBorder="1" applyAlignment="1">
      <alignment vertical="center" wrapText="1"/>
    </xf>
    <xf numFmtId="44" fontId="15" fillId="11" borderId="8" xfId="1" applyFont="1" applyFill="1" applyBorder="1" applyAlignment="1" applyProtection="1">
      <alignment horizontal="left" vertical="center" wrapText="1"/>
      <protection locked="0"/>
    </xf>
    <xf numFmtId="44" fontId="13" fillId="11" borderId="8" xfId="1" applyFont="1" applyFill="1" applyBorder="1" applyAlignment="1" applyProtection="1">
      <alignment horizontal="left" vertical="center" wrapText="1"/>
      <protection locked="0"/>
    </xf>
    <xf numFmtId="44" fontId="10" fillId="8" borderId="2" xfId="1" applyFont="1" applyFill="1" applyBorder="1" applyAlignment="1">
      <alignment vertical="center"/>
    </xf>
    <xf numFmtId="44" fontId="16" fillId="7" borderId="0" xfId="1" applyFont="1" applyFill="1"/>
    <xf numFmtId="44" fontId="17" fillId="0" borderId="0" xfId="1" applyFont="1"/>
    <xf numFmtId="44" fontId="19" fillId="0" borderId="0" xfId="1" applyFont="1" applyAlignment="1">
      <alignment horizontal="right"/>
    </xf>
    <xf numFmtId="44" fontId="18" fillId="8" borderId="0" xfId="1" applyFont="1" applyFill="1" applyAlignment="1">
      <alignment vertical="center"/>
    </xf>
    <xf numFmtId="44" fontId="19" fillId="8" borderId="0" xfId="1" applyFont="1" applyFill="1" applyAlignment="1">
      <alignment vertical="center"/>
    </xf>
    <xf numFmtId="44" fontId="18" fillId="0" borderId="0" xfId="1" applyFont="1" applyAlignment="1">
      <alignment vertical="center"/>
    </xf>
    <xf numFmtId="44" fontId="19" fillId="4" borderId="7" xfId="1" applyFont="1" applyFill="1" applyBorder="1" applyAlignment="1">
      <alignment horizontal="center" vertical="center" wrapText="1"/>
    </xf>
    <xf numFmtId="44" fontId="19" fillId="6" borderId="8" xfId="1" applyFont="1" applyFill="1" applyBorder="1" applyAlignment="1">
      <alignment horizontal="center" vertical="center" wrapText="1"/>
    </xf>
    <xf numFmtId="44" fontId="19" fillId="0" borderId="0" xfId="1" applyFont="1" applyAlignment="1">
      <alignment horizontal="center" vertical="center" wrapText="1"/>
    </xf>
    <xf numFmtId="44" fontId="20" fillId="4" borderId="7" xfId="1" applyFont="1" applyFill="1" applyBorder="1" applyAlignment="1">
      <alignment horizontal="left" vertical="center" wrapText="1"/>
    </xf>
    <xf numFmtId="44" fontId="20" fillId="4" borderId="8" xfId="1" applyFont="1" applyFill="1" applyBorder="1" applyAlignment="1">
      <alignment horizontal="center" vertical="center" wrapText="1"/>
    </xf>
    <xf numFmtId="44" fontId="20" fillId="6" borderId="8" xfId="1" applyFont="1" applyFill="1" applyBorder="1" applyAlignment="1" applyProtection="1">
      <alignment horizontal="right" vertical="center"/>
    </xf>
    <xf numFmtId="44" fontId="18" fillId="11" borderId="7" xfId="1" applyFont="1" applyFill="1" applyBorder="1" applyAlignment="1" applyProtection="1">
      <alignment horizontal="left" vertical="center" wrapText="1"/>
      <protection locked="0"/>
    </xf>
    <xf numFmtId="44" fontId="19" fillId="8" borderId="0" xfId="1" applyFont="1" applyFill="1" applyAlignment="1">
      <alignment horizontal="right" vertical="center"/>
    </xf>
    <xf numFmtId="44" fontId="19" fillId="10" borderId="14" xfId="1" applyFont="1" applyFill="1" applyBorder="1" applyAlignment="1" applyProtection="1">
      <alignment horizontal="right" vertical="center"/>
    </xf>
    <xf numFmtId="44" fontId="21" fillId="0" borderId="0" xfId="1" applyFont="1"/>
    <xf numFmtId="44" fontId="19" fillId="10" borderId="8" xfId="1" applyFont="1" applyFill="1" applyBorder="1" applyAlignment="1" applyProtection="1">
      <alignment horizontal="right" vertical="center"/>
    </xf>
    <xf numFmtId="44" fontId="20" fillId="11" borderId="7" xfId="1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>
      <alignment horizontal="left" wrapText="1"/>
    </xf>
    <xf numFmtId="0" fontId="2" fillId="16" borderId="8" xfId="0" applyFont="1" applyFill="1" applyBorder="1" applyAlignment="1">
      <alignment horizontal="left" wrapText="1"/>
    </xf>
    <xf numFmtId="0" fontId="2" fillId="20" borderId="8" xfId="0" applyFont="1" applyFill="1" applyBorder="1" applyAlignment="1">
      <alignment horizontal="left" wrapText="1"/>
    </xf>
    <xf numFmtId="0" fontId="2" fillId="19" borderId="8" xfId="0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left" wrapText="1"/>
    </xf>
    <xf numFmtId="0" fontId="2" fillId="13" borderId="8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4" fillId="18" borderId="8" xfId="0" applyFont="1" applyFill="1" applyBorder="1" applyAlignment="1">
      <alignment horizontal="left" wrapText="1"/>
    </xf>
    <xf numFmtId="0" fontId="2" fillId="21" borderId="8" xfId="0" applyFont="1" applyFill="1" applyBorder="1" applyAlignment="1">
      <alignment horizontal="left" wrapText="1"/>
    </xf>
    <xf numFmtId="0" fontId="2" fillId="22" borderId="8" xfId="0" applyFont="1" applyFill="1" applyBorder="1" applyAlignment="1">
      <alignment horizontal="left" wrapText="1"/>
    </xf>
    <xf numFmtId="0" fontId="2" fillId="23" borderId="8" xfId="0" applyFont="1" applyFill="1" applyBorder="1" applyAlignment="1">
      <alignment horizontal="left" wrapText="1"/>
    </xf>
    <xf numFmtId="0" fontId="2" fillId="24" borderId="8" xfId="0" applyFont="1" applyFill="1" applyBorder="1" applyAlignment="1">
      <alignment horizontal="left" wrapText="1"/>
    </xf>
    <xf numFmtId="0" fontId="2" fillId="25" borderId="8" xfId="0" applyFont="1" applyFill="1" applyBorder="1" applyAlignment="1">
      <alignment horizontal="left" wrapText="1"/>
    </xf>
    <xf numFmtId="0" fontId="2" fillId="26" borderId="8" xfId="0" applyFont="1" applyFill="1" applyBorder="1" applyAlignment="1">
      <alignment horizontal="left" wrapText="1"/>
    </xf>
    <xf numFmtId="0" fontId="2" fillId="27" borderId="8" xfId="0" applyFont="1" applyFill="1" applyBorder="1" applyAlignment="1">
      <alignment horizontal="left" wrapText="1"/>
    </xf>
    <xf numFmtId="0" fontId="2" fillId="28" borderId="8" xfId="0" applyFont="1" applyFill="1" applyBorder="1" applyAlignment="1">
      <alignment horizontal="left" wrapText="1"/>
    </xf>
    <xf numFmtId="0" fontId="2" fillId="29" borderId="8" xfId="0" applyFont="1" applyFill="1" applyBorder="1" applyAlignment="1">
      <alignment horizontal="left" wrapText="1"/>
    </xf>
    <xf numFmtId="0" fontId="2" fillId="30" borderId="8" xfId="0" applyFont="1" applyFill="1" applyBorder="1" applyAlignment="1">
      <alignment horizontal="left" wrapText="1"/>
    </xf>
    <xf numFmtId="0" fontId="2" fillId="12" borderId="8" xfId="0" applyFont="1" applyFill="1" applyBorder="1" applyAlignment="1">
      <alignment horizontal="left" wrapText="1"/>
    </xf>
    <xf numFmtId="0" fontId="2" fillId="31" borderId="8" xfId="0" applyFont="1" applyFill="1" applyBorder="1" applyAlignment="1">
      <alignment horizontal="left" wrapText="1"/>
    </xf>
    <xf numFmtId="0" fontId="0" fillId="0" borderId="8" xfId="0" applyBorder="1" applyAlignment="1">
      <alignment wrapText="1"/>
    </xf>
    <xf numFmtId="164" fontId="3" fillId="16" borderId="8" xfId="0" applyNumberFormat="1" applyFont="1" applyFill="1" applyBorder="1" applyAlignment="1">
      <alignment wrapText="1"/>
    </xf>
    <xf numFmtId="164" fontId="3" fillId="3" borderId="8" xfId="0" applyNumberFormat="1" applyFont="1" applyFill="1" applyBorder="1" applyAlignment="1">
      <alignment wrapText="1"/>
    </xf>
    <xf numFmtId="164" fontId="3" fillId="3" borderId="8" xfId="0" applyNumberFormat="1" applyFont="1" applyFill="1" applyBorder="1" applyAlignment="1">
      <alignment horizontal="right" wrapText="1"/>
    </xf>
    <xf numFmtId="165" fontId="2" fillId="3" borderId="8" xfId="0" applyNumberFormat="1" applyFont="1" applyFill="1" applyBorder="1" applyAlignment="1">
      <alignment horizontal="right" wrapText="1"/>
    </xf>
    <xf numFmtId="165" fontId="2" fillId="0" borderId="8" xfId="0" applyNumberFormat="1" applyFont="1" applyBorder="1" applyAlignment="1">
      <alignment horizontal="right" wrapText="1"/>
    </xf>
    <xf numFmtId="164" fontId="3" fillId="20" borderId="8" xfId="0" applyNumberFormat="1" applyFont="1" applyFill="1" applyBorder="1" applyAlignment="1">
      <alignment wrapText="1"/>
    </xf>
    <xf numFmtId="164" fontId="3" fillId="19" borderId="8" xfId="0" applyNumberFormat="1" applyFont="1" applyFill="1" applyBorder="1" applyAlignment="1">
      <alignment wrapText="1"/>
    </xf>
    <xf numFmtId="164" fontId="3" fillId="18" borderId="8" xfId="0" applyNumberFormat="1" applyFont="1" applyFill="1" applyBorder="1" applyAlignment="1">
      <alignment horizontal="right" wrapText="1"/>
    </xf>
    <xf numFmtId="164" fontId="3" fillId="18" borderId="8" xfId="0" applyNumberFormat="1" applyFont="1" applyFill="1" applyBorder="1" applyAlignment="1">
      <alignment wrapText="1"/>
    </xf>
    <xf numFmtId="165" fontId="2" fillId="17" borderId="8" xfId="0" applyNumberFormat="1" applyFont="1" applyFill="1" applyBorder="1" applyAlignment="1">
      <alignment horizontal="right" wrapText="1"/>
    </xf>
    <xf numFmtId="165" fontId="2" fillId="19" borderId="8" xfId="0" applyNumberFormat="1" applyFont="1" applyFill="1" applyBorder="1" applyAlignment="1">
      <alignment horizontal="right" wrapText="1"/>
    </xf>
    <xf numFmtId="164" fontId="3" fillId="14" borderId="8" xfId="0" applyNumberFormat="1" applyFont="1" applyFill="1" applyBorder="1" applyAlignment="1">
      <alignment wrapText="1"/>
    </xf>
    <xf numFmtId="164" fontId="3" fillId="5" borderId="8" xfId="0" applyNumberFormat="1" applyFont="1" applyFill="1" applyBorder="1" applyAlignment="1">
      <alignment horizontal="right" wrapText="1"/>
    </xf>
    <xf numFmtId="165" fontId="2" fillId="13" borderId="8" xfId="0" applyNumberFormat="1" applyFont="1" applyFill="1" applyBorder="1" applyAlignment="1">
      <alignment horizontal="right" wrapText="1"/>
    </xf>
    <xf numFmtId="165" fontId="2" fillId="14" borderId="8" xfId="0" applyNumberFormat="1" applyFont="1" applyFill="1" applyBorder="1" applyAlignment="1">
      <alignment horizontal="right" wrapText="1"/>
    </xf>
    <xf numFmtId="164" fontId="3" fillId="21" borderId="8" xfId="0" applyNumberFormat="1" applyFont="1" applyFill="1" applyBorder="1" applyAlignment="1">
      <alignment wrapText="1"/>
    </xf>
    <xf numFmtId="164" fontId="3" fillId="22" borderId="8" xfId="0" applyNumberFormat="1" applyFont="1" applyFill="1" applyBorder="1" applyAlignment="1">
      <alignment wrapText="1"/>
    </xf>
    <xf numFmtId="165" fontId="2" fillId="21" borderId="8" xfId="0" applyNumberFormat="1" applyFont="1" applyFill="1" applyBorder="1" applyAlignment="1">
      <alignment horizontal="right" wrapText="1"/>
    </xf>
    <xf numFmtId="164" fontId="3" fillId="23" borderId="8" xfId="0" applyNumberFormat="1" applyFont="1" applyFill="1" applyBorder="1" applyAlignment="1">
      <alignment horizontal="right" wrapText="1"/>
    </xf>
    <xf numFmtId="164" fontId="3" fillId="24" borderId="8" xfId="0" applyNumberFormat="1" applyFont="1" applyFill="1" applyBorder="1" applyAlignment="1">
      <alignment horizontal="right" wrapText="1"/>
    </xf>
    <xf numFmtId="164" fontId="3" fillId="25" borderId="8" xfId="0" applyNumberFormat="1" applyFont="1" applyFill="1" applyBorder="1" applyAlignment="1">
      <alignment wrapText="1"/>
    </xf>
    <xf numFmtId="164" fontId="3" fillId="26" borderId="8" xfId="0" applyNumberFormat="1" applyFont="1" applyFill="1" applyBorder="1" applyAlignment="1">
      <alignment horizontal="right" wrapText="1"/>
    </xf>
    <xf numFmtId="164" fontId="3" fillId="26" borderId="8" xfId="0" applyNumberFormat="1" applyFont="1" applyFill="1" applyBorder="1" applyAlignment="1">
      <alignment wrapText="1"/>
    </xf>
    <xf numFmtId="165" fontId="2" fillId="25" borderId="8" xfId="0" applyNumberFormat="1" applyFont="1" applyFill="1" applyBorder="1" applyAlignment="1">
      <alignment horizontal="right" wrapText="1"/>
    </xf>
    <xf numFmtId="164" fontId="3" fillId="27" borderId="8" xfId="0" applyNumberFormat="1" applyFont="1" applyFill="1" applyBorder="1" applyAlignment="1">
      <alignment horizontal="right" wrapText="1"/>
    </xf>
    <xf numFmtId="164" fontId="3" fillId="28" borderId="8" xfId="0" applyNumberFormat="1" applyFont="1" applyFill="1" applyBorder="1" applyAlignment="1">
      <alignment horizontal="right" wrapText="1"/>
    </xf>
    <xf numFmtId="164" fontId="3" fillId="28" borderId="8" xfId="0" applyNumberFormat="1" applyFont="1" applyFill="1" applyBorder="1" applyAlignment="1">
      <alignment wrapText="1"/>
    </xf>
    <xf numFmtId="165" fontId="2" fillId="27" borderId="8" xfId="0" applyNumberFormat="1" applyFont="1" applyFill="1" applyBorder="1" applyAlignment="1">
      <alignment horizontal="right" wrapText="1"/>
    </xf>
    <xf numFmtId="164" fontId="3" fillId="29" borderId="8" xfId="0" applyNumberFormat="1" applyFont="1" applyFill="1" applyBorder="1" applyAlignment="1">
      <alignment wrapText="1"/>
    </xf>
    <xf numFmtId="164" fontId="3" fillId="30" borderId="8" xfId="0" applyNumberFormat="1" applyFont="1" applyFill="1" applyBorder="1" applyAlignment="1">
      <alignment wrapText="1"/>
    </xf>
    <xf numFmtId="164" fontId="3" fillId="30" borderId="8" xfId="0" applyNumberFormat="1" applyFont="1" applyFill="1" applyBorder="1" applyAlignment="1">
      <alignment horizontal="right" wrapText="1"/>
    </xf>
    <xf numFmtId="165" fontId="2" fillId="29" borderId="8" xfId="0" applyNumberFormat="1" applyFont="1" applyFill="1" applyBorder="1" applyAlignment="1">
      <alignment horizontal="right" wrapText="1"/>
    </xf>
    <xf numFmtId="164" fontId="3" fillId="12" borderId="8" xfId="0" applyNumberFormat="1" applyFont="1" applyFill="1" applyBorder="1" applyAlignment="1">
      <alignment horizontal="right" wrapText="1"/>
    </xf>
    <xf numFmtId="164" fontId="3" fillId="31" borderId="8" xfId="0" applyNumberFormat="1" applyFont="1" applyFill="1" applyBorder="1" applyAlignment="1">
      <alignment wrapText="1"/>
    </xf>
    <xf numFmtId="164" fontId="3" fillId="31" borderId="8" xfId="0" applyNumberFormat="1" applyFont="1" applyFill="1" applyBorder="1" applyAlignment="1">
      <alignment horizontal="right" wrapText="1"/>
    </xf>
    <xf numFmtId="165" fontId="2" fillId="12" borderId="8" xfId="0" applyNumberFormat="1" applyFont="1" applyFill="1" applyBorder="1" applyAlignment="1">
      <alignment horizontal="right" wrapText="1"/>
    </xf>
    <xf numFmtId="164" fontId="3" fillId="0" borderId="8" xfId="0" applyNumberFormat="1" applyFont="1" applyBorder="1" applyAlignment="1">
      <alignment wrapText="1"/>
    </xf>
    <xf numFmtId="164" fontId="3" fillId="0" borderId="8" xfId="0" applyNumberFormat="1" applyFont="1" applyBorder="1" applyAlignment="1">
      <alignment horizontal="right" wrapText="1"/>
    </xf>
    <xf numFmtId="165" fontId="6" fillId="0" borderId="8" xfId="4" applyNumberFormat="1" applyBorder="1" applyAlignment="1">
      <alignment horizontal="right" wrapText="1"/>
    </xf>
    <xf numFmtId="44" fontId="25" fillId="0" borderId="0" xfId="1" applyFont="1"/>
    <xf numFmtId="44" fontId="4" fillId="0" borderId="0" xfId="1" applyFont="1"/>
    <xf numFmtId="0" fontId="27" fillId="0" borderId="0" xfId="0" applyFont="1" applyAlignment="1">
      <alignment vertical="top" wrapText="1"/>
    </xf>
    <xf numFmtId="0" fontId="28" fillId="0" borderId="0" xfId="0" applyFont="1" applyAlignment="1">
      <alignment horizontal="left" vertical="top"/>
    </xf>
    <xf numFmtId="0" fontId="27" fillId="0" borderId="0" xfId="0" applyFont="1" applyAlignment="1">
      <alignment horizontal="center" vertical="top" wrapText="1"/>
    </xf>
    <xf numFmtId="0" fontId="29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34" fillId="32" borderId="8" xfId="3" applyFont="1" applyFill="1" applyBorder="1" applyAlignment="1">
      <alignment horizontal="center" vertical="center" wrapText="1"/>
    </xf>
    <xf numFmtId="0" fontId="35" fillId="32" borderId="7" xfId="0" applyFont="1" applyFill="1" applyBorder="1" applyAlignment="1">
      <alignment horizontal="center" vertical="center" wrapText="1"/>
    </xf>
    <xf numFmtId="0" fontId="35" fillId="33" borderId="8" xfId="0" applyFont="1" applyFill="1" applyBorder="1" applyAlignment="1">
      <alignment horizontal="center" vertical="center" wrapText="1"/>
    </xf>
    <xf numFmtId="0" fontId="35" fillId="34" borderId="8" xfId="0" applyFont="1" applyFill="1" applyBorder="1" applyAlignment="1">
      <alignment horizontal="center" vertical="center" wrapText="1"/>
    </xf>
    <xf numFmtId="0" fontId="35" fillId="35" borderId="8" xfId="0" applyFont="1" applyFill="1" applyBorder="1" applyAlignment="1">
      <alignment horizontal="center" vertical="center" wrapText="1"/>
    </xf>
    <xf numFmtId="0" fontId="35" fillId="36" borderId="6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35" fillId="32" borderId="8" xfId="3" applyFont="1" applyFill="1" applyBorder="1" applyAlignment="1">
      <alignment horizontal="center" vertical="center" wrapText="1"/>
    </xf>
    <xf numFmtId="0" fontId="37" fillId="32" borderId="8" xfId="3" applyFont="1" applyFill="1" applyBorder="1" applyAlignment="1">
      <alignment horizontal="center" vertical="center" wrapText="1"/>
    </xf>
    <xf numFmtId="0" fontId="34" fillId="32" borderId="18" xfId="3" applyFont="1" applyFill="1" applyBorder="1" applyAlignment="1">
      <alignment horizontal="center" vertical="top" wrapText="1"/>
    </xf>
    <xf numFmtId="0" fontId="38" fillId="0" borderId="0" xfId="0" applyFont="1" applyAlignment="1">
      <alignment horizontal="left" vertical="top"/>
    </xf>
    <xf numFmtId="0" fontId="39" fillId="0" borderId="19" xfId="0" applyFont="1" applyBorder="1" applyAlignment="1">
      <alignment horizontal="left" vertical="top" wrapText="1" indent="1"/>
    </xf>
    <xf numFmtId="166" fontId="38" fillId="15" borderId="20" xfId="0" applyNumberFormat="1" applyFont="1" applyFill="1" applyBorder="1" applyAlignment="1">
      <alignment horizontal="right" vertical="top" shrinkToFit="1"/>
    </xf>
    <xf numFmtId="166" fontId="28" fillId="15" borderId="8" xfId="0" applyNumberFormat="1" applyFont="1" applyFill="1" applyBorder="1" applyAlignment="1">
      <alignment vertical="center" shrinkToFit="1"/>
    </xf>
    <xf numFmtId="167" fontId="38" fillId="15" borderId="21" xfId="0" applyNumberFormat="1" applyFont="1" applyFill="1" applyBorder="1" applyAlignment="1">
      <alignment horizontal="right" vertical="center" wrapText="1" shrinkToFit="1"/>
    </xf>
    <xf numFmtId="0" fontId="39" fillId="0" borderId="22" xfId="0" applyFont="1" applyBorder="1" applyAlignment="1">
      <alignment horizontal="left" vertical="top" wrapText="1" indent="1"/>
    </xf>
    <xf numFmtId="166" fontId="38" fillId="15" borderId="23" xfId="0" applyNumberFormat="1" applyFont="1" applyFill="1" applyBorder="1" applyAlignment="1">
      <alignment horizontal="right" vertical="top" shrinkToFit="1"/>
    </xf>
    <xf numFmtId="0" fontId="39" fillId="0" borderId="22" xfId="0" applyFont="1" applyBorder="1" applyAlignment="1">
      <alignment horizontal="left" vertical="top" indent="1"/>
    </xf>
    <xf numFmtId="166" fontId="39" fillId="15" borderId="20" xfId="0" applyNumberFormat="1" applyFont="1" applyFill="1" applyBorder="1" applyAlignment="1">
      <alignment horizontal="right" vertical="top" wrapText="1"/>
    </xf>
    <xf numFmtId="166" fontId="38" fillId="15" borderId="24" xfId="0" applyNumberFormat="1" applyFont="1" applyFill="1" applyBorder="1" applyAlignment="1">
      <alignment horizontal="right" vertical="top" shrinkToFit="1"/>
    </xf>
    <xf numFmtId="166" fontId="38" fillId="15" borderId="25" xfId="0" applyNumberFormat="1" applyFont="1" applyFill="1" applyBorder="1" applyAlignment="1">
      <alignment horizontal="right" vertical="top" shrinkToFit="1"/>
    </xf>
    <xf numFmtId="167" fontId="38" fillId="15" borderId="26" xfId="0" applyNumberFormat="1" applyFont="1" applyFill="1" applyBorder="1" applyAlignment="1">
      <alignment horizontal="right" vertical="center" wrapText="1" shrinkToFit="1"/>
    </xf>
    <xf numFmtId="0" fontId="33" fillId="0" borderId="27" xfId="0" applyFont="1" applyBorder="1" applyAlignment="1">
      <alignment vertical="top" wrapText="1"/>
    </xf>
    <xf numFmtId="166" fontId="33" fillId="15" borderId="8" xfId="0" applyNumberFormat="1" applyFont="1" applyFill="1" applyBorder="1" applyAlignment="1">
      <alignment vertical="top" wrapText="1"/>
    </xf>
    <xf numFmtId="167" fontId="40" fillId="15" borderId="8" xfId="0" applyNumberFormat="1" applyFont="1" applyFill="1" applyBorder="1" applyAlignment="1">
      <alignment horizontal="right" vertical="top" wrapText="1" shrinkToFit="1"/>
    </xf>
    <xf numFmtId="167" fontId="28" fillId="0" borderId="0" xfId="0" applyNumberFormat="1" applyFont="1" applyAlignment="1">
      <alignment horizontal="left" vertical="top"/>
    </xf>
    <xf numFmtId="0" fontId="39" fillId="0" borderId="8" xfId="0" applyFont="1" applyBorder="1" applyAlignment="1">
      <alignment horizontal="left" vertical="top" wrapText="1" indent="1"/>
    </xf>
    <xf numFmtId="3" fontId="33" fillId="15" borderId="8" xfId="0" applyNumberFormat="1" applyFont="1" applyFill="1" applyBorder="1" applyAlignment="1">
      <alignment vertical="top" wrapText="1"/>
    </xf>
    <xf numFmtId="3" fontId="33" fillId="15" borderId="8" xfId="0" applyNumberFormat="1" applyFont="1" applyFill="1" applyBorder="1" applyAlignment="1">
      <alignment horizontal="center" vertical="center" wrapText="1"/>
    </xf>
    <xf numFmtId="3" fontId="40" fillId="15" borderId="8" xfId="0" applyNumberFormat="1" applyFont="1" applyFill="1" applyBorder="1" applyAlignment="1">
      <alignment horizontal="center" vertical="top" wrapText="1" shrinkToFit="1"/>
    </xf>
    <xf numFmtId="167" fontId="40" fillId="15" borderId="8" xfId="0" applyNumberFormat="1" applyFont="1" applyFill="1" applyBorder="1" applyAlignment="1">
      <alignment horizontal="center" vertical="top" wrapText="1" shrinkToFit="1"/>
    </xf>
    <xf numFmtId="0" fontId="33" fillId="0" borderId="0" xfId="0" applyFont="1" applyAlignment="1">
      <alignment vertical="top" wrapText="1"/>
    </xf>
    <xf numFmtId="166" fontId="33" fillId="0" borderId="0" xfId="0" applyNumberFormat="1" applyFont="1" applyAlignment="1">
      <alignment vertical="top" wrapText="1"/>
    </xf>
    <xf numFmtId="167" fontId="40" fillId="0" borderId="0" xfId="0" applyNumberFormat="1" applyFont="1" applyAlignment="1">
      <alignment horizontal="right" vertical="top" wrapText="1" shrinkToFit="1"/>
    </xf>
    <xf numFmtId="9" fontId="38" fillId="0" borderId="0" xfId="2" applyFont="1" applyAlignment="1">
      <alignment horizontal="left" vertical="top"/>
    </xf>
    <xf numFmtId="0" fontId="34" fillId="32" borderId="4" xfId="3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 indent="5"/>
    </xf>
    <xf numFmtId="0" fontId="41" fillId="0" borderId="4" xfId="0" applyFont="1" applyBorder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34" fillId="32" borderId="8" xfId="3" applyFont="1" applyFill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166" fontId="28" fillId="0" borderId="8" xfId="0" applyNumberFormat="1" applyFont="1" applyBorder="1" applyAlignment="1">
      <alignment horizontal="center" vertical="center" wrapText="1" shrinkToFit="1"/>
    </xf>
    <xf numFmtId="3" fontId="28" fillId="0" borderId="0" xfId="0" applyNumberFormat="1" applyFont="1" applyAlignment="1">
      <alignment horizontal="center" vertical="top"/>
    </xf>
    <xf numFmtId="166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44" fillId="0" borderId="8" xfId="0" applyFont="1" applyBorder="1" applyAlignment="1">
      <alignment horizontal="left" vertical="center" wrapText="1"/>
    </xf>
    <xf numFmtId="166" fontId="44" fillId="0" borderId="8" xfId="0" applyNumberFormat="1" applyFont="1" applyBorder="1" applyAlignment="1">
      <alignment horizontal="left" vertical="center" wrapText="1"/>
    </xf>
    <xf numFmtId="9" fontId="44" fillId="0" borderId="8" xfId="2" applyFont="1" applyFill="1" applyBorder="1" applyAlignment="1">
      <alignment horizontal="left" vertical="center" wrapText="1"/>
    </xf>
    <xf numFmtId="166" fontId="45" fillId="15" borderId="8" xfId="0" applyNumberFormat="1" applyFont="1" applyFill="1" applyBorder="1" applyAlignment="1">
      <alignment vertical="center" wrapText="1"/>
    </xf>
    <xf numFmtId="166" fontId="28" fillId="0" borderId="8" xfId="0" applyNumberFormat="1" applyFont="1" applyBorder="1" applyAlignment="1">
      <alignment vertical="center" wrapText="1"/>
    </xf>
    <xf numFmtId="166" fontId="28" fillId="0" borderId="8" xfId="0" applyNumberFormat="1" applyFont="1" applyBorder="1" applyAlignment="1">
      <alignment vertical="center" wrapText="1" shrinkToFit="1"/>
    </xf>
    <xf numFmtId="166" fontId="45" fillId="15" borderId="8" xfId="0" applyNumberFormat="1" applyFont="1" applyFill="1" applyBorder="1" applyAlignment="1">
      <alignment vertical="center" wrapText="1" shrinkToFit="1"/>
    </xf>
    <xf numFmtId="166" fontId="33" fillId="0" borderId="8" xfId="0" applyNumberFormat="1" applyFont="1" applyBorder="1" applyAlignment="1">
      <alignment horizontal="center" vertical="top" wrapText="1"/>
    </xf>
    <xf numFmtId="168" fontId="40" fillId="0" borderId="8" xfId="0" applyNumberFormat="1" applyFont="1" applyBorder="1" applyAlignment="1">
      <alignment vertical="top" wrapText="1" shrinkToFit="1"/>
    </xf>
    <xf numFmtId="0" fontId="33" fillId="0" borderId="0" xfId="0" applyFont="1" applyAlignment="1">
      <alignment horizontal="left" vertical="top" wrapText="1"/>
    </xf>
    <xf numFmtId="9" fontId="46" fillId="0" borderId="0" xfId="0" applyNumberFormat="1" applyFont="1" applyAlignment="1">
      <alignment horizontal="left" vertical="top" wrapText="1"/>
    </xf>
    <xf numFmtId="0" fontId="38" fillId="0" borderId="0" xfId="0" applyFont="1" applyAlignment="1">
      <alignment horizontal="left" wrapText="1"/>
    </xf>
    <xf numFmtId="168" fontId="40" fillId="0" borderId="0" xfId="0" applyNumberFormat="1" applyFont="1" applyAlignment="1">
      <alignment horizontal="right" vertical="top" indent="1" shrinkToFit="1"/>
    </xf>
    <xf numFmtId="166" fontId="28" fillId="0" borderId="8" xfId="0" applyNumberFormat="1" applyFont="1" applyBorder="1" applyAlignment="1">
      <alignment vertical="top" wrapText="1" shrinkToFit="1"/>
    </xf>
    <xf numFmtId="166" fontId="44" fillId="0" borderId="8" xfId="0" applyNumberFormat="1" applyFont="1" applyBorder="1" applyAlignment="1">
      <alignment vertical="top" wrapText="1"/>
    </xf>
    <xf numFmtId="166" fontId="38" fillId="0" borderId="8" xfId="0" applyNumberFormat="1" applyFont="1" applyBorder="1" applyAlignment="1">
      <alignment vertical="top" wrapText="1" shrinkToFit="1"/>
    </xf>
    <xf numFmtId="0" fontId="44" fillId="0" borderId="9" xfId="0" applyFont="1" applyBorder="1" applyAlignment="1">
      <alignment horizontal="left" vertical="center" wrapText="1"/>
    </xf>
    <xf numFmtId="166" fontId="44" fillId="0" borderId="9" xfId="0" applyNumberFormat="1" applyFont="1" applyBorder="1" applyAlignment="1">
      <alignment vertical="top" wrapText="1"/>
    </xf>
    <xf numFmtId="166" fontId="33" fillId="0" borderId="4" xfId="0" applyNumberFormat="1" applyFont="1" applyBorder="1" applyAlignment="1">
      <alignment horizontal="center" vertical="top" wrapText="1"/>
    </xf>
    <xf numFmtId="168" fontId="33" fillId="0" borderId="7" xfId="0" applyNumberFormat="1" applyFont="1" applyBorder="1" applyAlignment="1">
      <alignment vertical="top" wrapText="1"/>
    </xf>
    <xf numFmtId="0" fontId="33" fillId="0" borderId="32" xfId="0" applyFont="1" applyBorder="1" applyAlignment="1">
      <alignment horizontal="left" vertical="top" wrapText="1"/>
    </xf>
    <xf numFmtId="3" fontId="38" fillId="0" borderId="33" xfId="0" applyNumberFormat="1" applyFont="1" applyBorder="1" applyAlignment="1">
      <alignment horizontal="right" vertical="top" indent="1" shrinkToFit="1"/>
    </xf>
    <xf numFmtId="0" fontId="34" fillId="32" borderId="9" xfId="3" applyFont="1" applyFill="1" applyBorder="1" applyAlignment="1">
      <alignment horizontal="center" vertical="top" wrapText="1"/>
    </xf>
    <xf numFmtId="0" fontId="39" fillId="0" borderId="8" xfId="0" applyFont="1" applyBorder="1" applyAlignment="1">
      <alignment vertical="top" wrapText="1"/>
    </xf>
    <xf numFmtId="169" fontId="28" fillId="0" borderId="8" xfId="1" applyNumberFormat="1" applyFont="1" applyFill="1" applyBorder="1" applyAlignment="1">
      <alignment horizontal="center" vertical="center" wrapText="1"/>
    </xf>
    <xf numFmtId="168" fontId="40" fillId="0" borderId="7" xfId="0" applyNumberFormat="1" applyFont="1" applyBorder="1" applyAlignment="1">
      <alignment vertical="top" wrapText="1" shrinkToFit="1"/>
    </xf>
    <xf numFmtId="168" fontId="40" fillId="0" borderId="0" xfId="0" applyNumberFormat="1" applyFont="1" applyAlignment="1">
      <alignment vertical="top" wrapText="1" shrinkToFit="1"/>
    </xf>
    <xf numFmtId="0" fontId="39" fillId="0" borderId="36" xfId="0" applyFont="1" applyBorder="1" applyAlignment="1">
      <alignment vertical="top" wrapText="1"/>
    </xf>
    <xf numFmtId="166" fontId="38" fillId="0" borderId="8" xfId="0" applyNumberFormat="1" applyFont="1" applyBorder="1" applyAlignment="1">
      <alignment wrapText="1"/>
    </xf>
    <xf numFmtId="169" fontId="39" fillId="0" borderId="36" xfId="1" applyNumberFormat="1" applyFont="1" applyFill="1" applyBorder="1" applyAlignment="1">
      <alignment vertical="top" wrapText="1"/>
    </xf>
    <xf numFmtId="0" fontId="34" fillId="33" borderId="4" xfId="3" applyFont="1" applyFill="1" applyBorder="1" applyAlignment="1">
      <alignment horizontal="center" vertical="center" wrapText="1"/>
    </xf>
    <xf numFmtId="0" fontId="34" fillId="33" borderId="8" xfId="3" applyFont="1" applyFill="1" applyBorder="1" applyAlignment="1">
      <alignment horizontal="center" vertical="top" wrapText="1"/>
    </xf>
    <xf numFmtId="0" fontId="34" fillId="33" borderId="9" xfId="3" applyFont="1" applyFill="1" applyBorder="1" applyAlignment="1">
      <alignment horizontal="center" vertical="top" wrapText="1"/>
    </xf>
    <xf numFmtId="0" fontId="42" fillId="0" borderId="0" xfId="0" applyFont="1" applyAlignment="1">
      <alignment horizontal="center" vertical="center" wrapText="1"/>
    </xf>
    <xf numFmtId="0" fontId="38" fillId="0" borderId="8" xfId="0" applyFont="1" applyBorder="1" applyAlignment="1">
      <alignment vertical="top" wrapText="1"/>
    </xf>
    <xf numFmtId="0" fontId="39" fillId="0" borderId="9" xfId="0" applyFont="1" applyBorder="1" applyAlignment="1">
      <alignment vertical="top" wrapText="1"/>
    </xf>
    <xf numFmtId="0" fontId="39" fillId="0" borderId="37" xfId="0" applyFont="1" applyBorder="1" applyAlignment="1">
      <alignment vertical="top" wrapText="1"/>
    </xf>
    <xf numFmtId="0" fontId="34" fillId="34" borderId="4" xfId="3" applyFont="1" applyFill="1" applyBorder="1" applyAlignment="1">
      <alignment horizontal="center" vertical="center" wrapText="1"/>
    </xf>
    <xf numFmtId="0" fontId="34" fillId="34" borderId="8" xfId="3" applyFont="1" applyFill="1" applyBorder="1" applyAlignment="1">
      <alignment horizontal="center" vertical="top" wrapText="1"/>
    </xf>
    <xf numFmtId="0" fontId="28" fillId="0" borderId="8" xfId="0" applyFont="1" applyBorder="1" applyAlignment="1">
      <alignment horizontal="left" vertical="center" wrapText="1"/>
    </xf>
    <xf numFmtId="166" fontId="28" fillId="0" borderId="8" xfId="0" applyNumberFormat="1" applyFont="1" applyBorder="1" applyAlignment="1">
      <alignment horizontal="left" vertical="center" wrapText="1"/>
    </xf>
    <xf numFmtId="9" fontId="28" fillId="0" borderId="8" xfId="2" applyFont="1" applyFill="1" applyBorder="1" applyAlignment="1">
      <alignment horizontal="left" vertical="center" wrapText="1"/>
    </xf>
    <xf numFmtId="0" fontId="44" fillId="0" borderId="8" xfId="0" applyFont="1" applyBorder="1" applyAlignment="1">
      <alignment vertical="center" wrapText="1"/>
    </xf>
    <xf numFmtId="166" fontId="28" fillId="0" borderId="8" xfId="0" applyNumberFormat="1" applyFont="1" applyBorder="1" applyAlignment="1">
      <alignment wrapText="1"/>
    </xf>
    <xf numFmtId="0" fontId="44" fillId="0" borderId="9" xfId="0" applyFont="1" applyBorder="1" applyAlignment="1">
      <alignment vertical="center" wrapText="1"/>
    </xf>
    <xf numFmtId="0" fontId="34" fillId="34" borderId="9" xfId="3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34" fillId="35" borderId="4" xfId="3" applyFont="1" applyFill="1" applyBorder="1" applyAlignment="1">
      <alignment horizontal="center" vertical="center" wrapText="1"/>
    </xf>
    <xf numFmtId="0" fontId="34" fillId="35" borderId="8" xfId="3" applyFont="1" applyFill="1" applyBorder="1" applyAlignment="1">
      <alignment horizontal="center" vertical="top" wrapText="1"/>
    </xf>
    <xf numFmtId="0" fontId="34" fillId="35" borderId="9" xfId="3" applyFont="1" applyFill="1" applyBorder="1" applyAlignment="1">
      <alignment horizontal="center" vertical="top" wrapText="1"/>
    </xf>
    <xf numFmtId="0" fontId="34" fillId="36" borderId="4" xfId="3" applyFont="1" applyFill="1" applyBorder="1" applyAlignment="1">
      <alignment horizontal="center" vertical="center" wrapText="1"/>
    </xf>
    <xf numFmtId="0" fontId="34" fillId="36" borderId="8" xfId="3" applyFont="1" applyFill="1" applyBorder="1" applyAlignment="1">
      <alignment horizontal="center" vertical="top" wrapText="1"/>
    </xf>
    <xf numFmtId="9" fontId="44" fillId="0" borderId="8" xfId="0" applyNumberFormat="1" applyFont="1" applyBorder="1" applyAlignment="1">
      <alignment horizontal="left" vertical="center" wrapText="1"/>
    </xf>
    <xf numFmtId="0" fontId="34" fillId="36" borderId="9" xfId="3" applyFont="1" applyFill="1" applyBorder="1" applyAlignment="1">
      <alignment horizontal="center" vertical="top" wrapText="1"/>
    </xf>
    <xf numFmtId="169" fontId="42" fillId="0" borderId="8" xfId="1" applyNumberFormat="1" applyFont="1" applyFill="1" applyBorder="1" applyAlignment="1">
      <alignment horizontal="center" vertical="center" wrapText="1"/>
    </xf>
    <xf numFmtId="169" fontId="33" fillId="0" borderId="36" xfId="1" applyNumberFormat="1" applyFont="1" applyFill="1" applyBorder="1" applyAlignment="1">
      <alignment vertical="top" wrapText="1"/>
    </xf>
    <xf numFmtId="44" fontId="0" fillId="0" borderId="8" xfId="1" applyFont="1" applyBorder="1"/>
    <xf numFmtId="9" fontId="0" fillId="0" borderId="8" xfId="2" applyFont="1" applyBorder="1"/>
    <xf numFmtId="44" fontId="18" fillId="11" borderId="39" xfId="1" applyFont="1" applyFill="1" applyBorder="1" applyAlignment="1" applyProtection="1">
      <alignment horizontal="left" vertical="center" wrapText="1"/>
      <protection locked="0"/>
    </xf>
    <xf numFmtId="44" fontId="20" fillId="11" borderId="39" xfId="1" applyFont="1" applyFill="1" applyBorder="1" applyAlignment="1" applyProtection="1">
      <alignment horizontal="left" vertical="center" wrapText="1"/>
      <protection locked="0"/>
    </xf>
    <xf numFmtId="44" fontId="18" fillId="10" borderId="0" xfId="1" applyFont="1" applyFill="1" applyBorder="1" applyAlignment="1" applyProtection="1">
      <alignment horizontal="right" vertical="center"/>
    </xf>
    <xf numFmtId="44" fontId="19" fillId="6" borderId="0" xfId="1" applyFont="1" applyFill="1" applyBorder="1" applyAlignment="1">
      <alignment horizontal="center" vertical="center" wrapText="1"/>
    </xf>
    <xf numFmtId="44" fontId="20" fillId="6" borderId="0" xfId="1" applyFont="1" applyFill="1" applyBorder="1" applyAlignment="1" applyProtection="1">
      <alignment horizontal="right" vertical="center"/>
    </xf>
    <xf numFmtId="44" fontId="19" fillId="10" borderId="0" xfId="1" applyFont="1" applyFill="1" applyBorder="1" applyAlignment="1" applyProtection="1">
      <alignment horizontal="right" vertical="center"/>
    </xf>
    <xf numFmtId="44" fontId="13" fillId="10" borderId="42" xfId="1" applyFont="1" applyFill="1" applyBorder="1" applyAlignment="1">
      <alignment horizontal="center" vertical="center"/>
    </xf>
    <xf numFmtId="43" fontId="10" fillId="11" borderId="11" xfId="5" applyFont="1" applyFill="1" applyBorder="1" applyAlignment="1" applyProtection="1">
      <alignment horizontal="right" vertical="center"/>
      <protection locked="0"/>
    </xf>
    <xf numFmtId="44" fontId="15" fillId="4" borderId="8" xfId="1" applyFont="1" applyFill="1" applyBorder="1" applyAlignment="1">
      <alignment horizontal="center" vertical="center" wrapText="1"/>
    </xf>
    <xf numFmtId="44" fontId="13" fillId="11" borderId="11" xfId="1" applyFont="1" applyFill="1" applyBorder="1" applyAlignment="1" applyProtection="1">
      <alignment horizontal="right" vertical="center"/>
      <protection locked="0"/>
    </xf>
    <xf numFmtId="43" fontId="13" fillId="11" borderId="11" xfId="5" applyFont="1" applyFill="1" applyBorder="1" applyAlignment="1" applyProtection="1">
      <alignment horizontal="right" vertical="center"/>
      <protection locked="0"/>
    </xf>
    <xf numFmtId="44" fontId="13" fillId="11" borderId="41" xfId="1" applyFont="1" applyFill="1" applyBorder="1" applyAlignment="1" applyProtection="1">
      <alignment horizontal="right" vertical="center"/>
      <protection locked="0"/>
    </xf>
    <xf numFmtId="44" fontId="13" fillId="3" borderId="11" xfId="1" applyFont="1" applyFill="1" applyBorder="1" applyAlignment="1">
      <alignment horizontal="right" vertical="center" wrapText="1"/>
    </xf>
    <xf numFmtId="44" fontId="10" fillId="3" borderId="11" xfId="1" applyFont="1" applyFill="1" applyBorder="1" applyAlignment="1" applyProtection="1">
      <alignment horizontal="right" vertical="center"/>
      <protection locked="0"/>
    </xf>
    <xf numFmtId="44" fontId="13" fillId="3" borderId="11" xfId="1" applyFont="1" applyFill="1" applyBorder="1" applyAlignment="1" applyProtection="1">
      <alignment horizontal="right" vertical="center"/>
      <protection locked="0"/>
    </xf>
    <xf numFmtId="44" fontId="13" fillId="3" borderId="40" xfId="1" applyFont="1" applyFill="1" applyBorder="1" applyAlignment="1" applyProtection="1">
      <alignment horizontal="right" vertical="center"/>
      <protection locked="0"/>
    </xf>
    <xf numFmtId="44" fontId="13" fillId="3" borderId="8" xfId="1" applyFont="1" applyFill="1" applyBorder="1" applyAlignment="1" applyProtection="1">
      <alignment horizontal="right" vertical="center"/>
      <protection locked="0"/>
    </xf>
    <xf numFmtId="43" fontId="10" fillId="11" borderId="41" xfId="5" applyFont="1" applyFill="1" applyBorder="1" applyAlignment="1" applyProtection="1">
      <alignment horizontal="right" vertical="center"/>
      <protection locked="0"/>
    </xf>
    <xf numFmtId="43" fontId="13" fillId="11" borderId="43" xfId="5" applyFont="1" applyFill="1" applyBorder="1" applyAlignment="1" applyProtection="1">
      <alignment horizontal="right" vertical="center"/>
      <protection locked="0"/>
    </xf>
    <xf numFmtId="44" fontId="10" fillId="3" borderId="40" xfId="1" applyFont="1" applyFill="1" applyBorder="1" applyAlignment="1" applyProtection="1">
      <alignment horizontal="right" vertical="center"/>
      <protection locked="0"/>
    </xf>
    <xf numFmtId="44" fontId="11" fillId="3" borderId="44" xfId="1" applyFont="1" applyFill="1" applyBorder="1" applyAlignment="1" applyProtection="1">
      <alignment horizontal="right" vertical="center"/>
      <protection locked="0"/>
    </xf>
    <xf numFmtId="44" fontId="11" fillId="3" borderId="45" xfId="1" applyFont="1" applyFill="1" applyBorder="1" applyAlignment="1" applyProtection="1">
      <alignment horizontal="right" vertical="center"/>
      <protection locked="0"/>
    </xf>
    <xf numFmtId="44" fontId="11" fillId="3" borderId="46" xfId="1" applyFont="1" applyFill="1" applyBorder="1" applyAlignment="1" applyProtection="1">
      <alignment horizontal="right" vertical="center"/>
      <protection locked="0"/>
    </xf>
    <xf numFmtId="44" fontId="11" fillId="37" borderId="11" xfId="1" applyFont="1" applyFill="1" applyBorder="1" applyAlignment="1" applyProtection="1">
      <alignment horizontal="right" vertical="center"/>
      <protection locked="0"/>
    </xf>
    <xf numFmtId="44" fontId="11" fillId="37" borderId="40" xfId="1" applyFont="1" applyFill="1" applyBorder="1" applyAlignment="1" applyProtection="1">
      <alignment horizontal="right" vertical="center"/>
      <protection locked="0"/>
    </xf>
    <xf numFmtId="44" fontId="10" fillId="11" borderId="6" xfId="1" applyFont="1" applyFill="1" applyBorder="1" applyAlignment="1" applyProtection="1">
      <alignment horizontal="left" vertical="center" wrapText="1"/>
      <protection locked="0"/>
    </xf>
    <xf numFmtId="44" fontId="10" fillId="11" borderId="7" xfId="1" applyFont="1" applyFill="1" applyBorder="1" applyAlignment="1" applyProtection="1">
      <alignment horizontal="center" vertical="center"/>
      <protection locked="0"/>
    </xf>
    <xf numFmtId="44" fontId="10" fillId="11" borderId="11" xfId="1" applyFont="1" applyFill="1" applyBorder="1" applyAlignment="1" applyProtection="1">
      <alignment horizontal="center" vertical="center"/>
      <protection locked="0"/>
    </xf>
    <xf numFmtId="44" fontId="10" fillId="11" borderId="44" xfId="1" applyFont="1" applyFill="1" applyBorder="1" applyAlignment="1" applyProtection="1">
      <alignment horizontal="center" vertical="center"/>
      <protection locked="0"/>
    </xf>
    <xf numFmtId="44" fontId="10" fillId="11" borderId="47" xfId="1" applyFont="1" applyFill="1" applyBorder="1" applyAlignment="1" applyProtection="1">
      <alignment horizontal="center" vertical="center"/>
      <protection locked="0"/>
    </xf>
    <xf numFmtId="0" fontId="47" fillId="16" borderId="4" xfId="0" applyFont="1" applyFill="1" applyBorder="1" applyAlignment="1">
      <alignment horizontal="center" wrapText="1"/>
    </xf>
    <xf numFmtId="0" fontId="47" fillId="42" borderId="15" xfId="0" applyFont="1" applyFill="1" applyBorder="1" applyAlignment="1">
      <alignment horizontal="center" wrapText="1"/>
    </xf>
    <xf numFmtId="0" fontId="2" fillId="43" borderId="8" xfId="0" applyFont="1" applyFill="1" applyBorder="1" applyAlignment="1">
      <alignment horizontal="left" wrapText="1"/>
    </xf>
    <xf numFmtId="165" fontId="2" fillId="43" borderId="8" xfId="0" applyNumberFormat="1" applyFont="1" applyFill="1" applyBorder="1" applyAlignment="1">
      <alignment horizontal="right" wrapText="1"/>
    </xf>
    <xf numFmtId="164" fontId="2" fillId="3" borderId="8" xfId="0" applyNumberFormat="1" applyFont="1" applyFill="1" applyBorder="1" applyAlignment="1">
      <alignment horizontal="right" wrapText="1"/>
    </xf>
    <xf numFmtId="0" fontId="48" fillId="22" borderId="8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2" fillId="17" borderId="8" xfId="0" applyFont="1" applyFill="1" applyBorder="1" applyAlignment="1">
      <alignment horizontal="left" wrapText="1"/>
    </xf>
    <xf numFmtId="0" fontId="2" fillId="18" borderId="8" xfId="0" applyFont="1" applyFill="1" applyBorder="1" applyAlignment="1">
      <alignment horizontal="left" wrapText="1"/>
    </xf>
    <xf numFmtId="0" fontId="52" fillId="0" borderId="0" xfId="0" applyFont="1"/>
    <xf numFmtId="0" fontId="61" fillId="45" borderId="6" xfId="0" applyFont="1" applyFill="1" applyBorder="1" applyAlignment="1">
      <alignment horizontal="left"/>
    </xf>
    <xf numFmtId="0" fontId="61" fillId="0" borderId="6" xfId="0" applyFont="1" applyBorder="1" applyAlignment="1">
      <alignment horizontal="right"/>
    </xf>
    <xf numFmtId="9" fontId="61" fillId="0" borderId="13" xfId="2" applyFont="1" applyBorder="1" applyAlignment="1">
      <alignment horizontal="center"/>
    </xf>
    <xf numFmtId="0" fontId="61" fillId="0" borderId="13" xfId="0" applyFont="1" applyBorder="1" applyAlignment="1">
      <alignment horizontal="left"/>
    </xf>
    <xf numFmtId="0" fontId="61" fillId="0" borderId="7" xfId="0" applyFont="1" applyBorder="1"/>
    <xf numFmtId="0" fontId="47" fillId="46" borderId="8" xfId="0" applyFont="1" applyFill="1" applyBorder="1" applyAlignment="1">
      <alignment horizontal="center" vertical="center" wrapText="1"/>
    </xf>
    <xf numFmtId="0" fontId="61" fillId="45" borderId="8" xfId="0" applyFont="1" applyFill="1" applyBorder="1" applyAlignment="1">
      <alignment horizontal="center" vertical="center"/>
    </xf>
    <xf numFmtId="0" fontId="61" fillId="45" borderId="8" xfId="0" applyFont="1" applyFill="1" applyBorder="1" applyAlignment="1">
      <alignment horizontal="center" vertical="center" wrapText="1"/>
    </xf>
    <xf numFmtId="0" fontId="52" fillId="0" borderId="48" xfId="0" applyFont="1" applyBorder="1" applyAlignment="1">
      <alignment vertical="center" wrapText="1"/>
    </xf>
    <xf numFmtId="42" fontId="52" fillId="0" borderId="48" xfId="0" applyNumberFormat="1" applyFont="1" applyBorder="1" applyAlignment="1">
      <alignment horizontal="center" vertical="center"/>
    </xf>
    <xf numFmtId="0" fontId="52" fillId="0" borderId="49" xfId="0" applyFont="1" applyBorder="1" applyAlignment="1">
      <alignment vertical="center" wrapText="1"/>
    </xf>
    <xf numFmtId="42" fontId="52" fillId="0" borderId="49" xfId="0" applyNumberFormat="1" applyFont="1" applyBorder="1" applyAlignment="1">
      <alignment horizontal="center" vertical="center"/>
    </xf>
    <xf numFmtId="0" fontId="61" fillId="0" borderId="8" xfId="0" applyFont="1" applyBorder="1" applyAlignment="1">
      <alignment horizontal="right" vertical="center"/>
    </xf>
    <xf numFmtId="42" fontId="52" fillId="0" borderId="8" xfId="0" applyNumberFormat="1" applyFont="1" applyBorder="1" applyAlignment="1">
      <alignment horizontal="center" vertical="center"/>
    </xf>
    <xf numFmtId="0" fontId="61" fillId="45" borderId="49" xfId="0" applyFont="1" applyFill="1" applyBorder="1" applyAlignment="1">
      <alignment horizontal="center" vertical="center" wrapText="1"/>
    </xf>
    <xf numFmtId="0" fontId="61" fillId="45" borderId="52" xfId="0" applyFont="1" applyFill="1" applyBorder="1" applyAlignment="1">
      <alignment horizontal="center" vertical="center" wrapText="1"/>
    </xf>
    <xf numFmtId="0" fontId="61" fillId="45" borderId="52" xfId="0" applyFont="1" applyFill="1" applyBorder="1" applyAlignment="1">
      <alignment horizontal="left" vertical="center"/>
    </xf>
    <xf numFmtId="0" fontId="64" fillId="0" borderId="0" xfId="0" applyFont="1"/>
    <xf numFmtId="0" fontId="64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61" fillId="0" borderId="7" xfId="0" applyFont="1" applyBorder="1" applyAlignment="1">
      <alignment horizontal="left"/>
    </xf>
    <xf numFmtId="0" fontId="47" fillId="46" borderId="8" xfId="0" applyFont="1" applyFill="1" applyBorder="1" applyAlignment="1">
      <alignment horizontal="left" vertical="center" wrapText="1"/>
    </xf>
    <xf numFmtId="0" fontId="64" fillId="0" borderId="0" xfId="0" applyFont="1" applyAlignment="1">
      <alignment vertical="center"/>
    </xf>
    <xf numFmtId="0" fontId="61" fillId="45" borderId="8" xfId="0" applyFont="1" applyFill="1" applyBorder="1" applyAlignment="1">
      <alignment horizontal="left" vertical="center" wrapText="1"/>
    </xf>
    <xf numFmtId="42" fontId="52" fillId="0" borderId="48" xfId="0" applyNumberFormat="1" applyFont="1" applyBorder="1" applyAlignment="1">
      <alignment horizontal="left" vertical="center"/>
    </xf>
    <xf numFmtId="42" fontId="52" fillId="0" borderId="49" xfId="0" applyNumberFormat="1" applyFont="1" applyBorder="1" applyAlignment="1">
      <alignment horizontal="left" vertical="center"/>
    </xf>
    <xf numFmtId="42" fontId="52" fillId="0" borderId="49" xfId="0" applyNumberFormat="1" applyFont="1" applyBorder="1" applyAlignment="1">
      <alignment horizontal="left" vertical="center" wrapText="1"/>
    </xf>
    <xf numFmtId="42" fontId="52" fillId="0" borderId="8" xfId="0" applyNumberFormat="1" applyFont="1" applyBorder="1" applyAlignment="1">
      <alignment horizontal="left" vertical="center"/>
    </xf>
    <xf numFmtId="0" fontId="61" fillId="45" borderId="49" xfId="0" applyFont="1" applyFill="1" applyBorder="1" applyAlignment="1">
      <alignment horizontal="left" vertical="center" wrapText="1"/>
    </xf>
    <xf numFmtId="0" fontId="61" fillId="45" borderId="5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7" fillId="0" borderId="1" xfId="0" applyFont="1" applyBorder="1" applyAlignment="1">
      <alignment horizontal="center" wrapText="1"/>
    </xf>
    <xf numFmtId="0" fontId="48" fillId="0" borderId="0" xfId="0" applyFont="1" applyAlignment="1">
      <alignment horizontal="left" wrapText="1"/>
    </xf>
    <xf numFmtId="164" fontId="49" fillId="0" borderId="0" xfId="0" applyNumberFormat="1" applyFont="1" applyAlignment="1">
      <alignment wrapText="1"/>
    </xf>
    <xf numFmtId="164" fontId="49" fillId="0" borderId="0" xfId="0" applyNumberFormat="1" applyFont="1" applyAlignment="1">
      <alignment horizontal="right" wrapText="1"/>
    </xf>
    <xf numFmtId="165" fontId="48" fillId="0" borderId="2" xfId="0" applyNumberFormat="1" applyFont="1" applyBorder="1" applyAlignment="1">
      <alignment horizontal="right" wrapText="1"/>
    </xf>
    <xf numFmtId="0" fontId="67" fillId="5" borderId="1" xfId="0" applyFont="1" applyFill="1" applyBorder="1" applyAlignment="1">
      <alignment horizontal="center" wrapText="1"/>
    </xf>
    <xf numFmtId="164" fontId="49" fillId="5" borderId="0" xfId="0" applyNumberFormat="1" applyFont="1" applyFill="1" applyAlignment="1">
      <alignment wrapText="1"/>
    </xf>
    <xf numFmtId="165" fontId="48" fillId="5" borderId="2" xfId="0" applyNumberFormat="1" applyFont="1" applyFill="1" applyBorder="1" applyAlignment="1">
      <alignment horizontal="right" wrapText="1"/>
    </xf>
    <xf numFmtId="164" fontId="49" fillId="5" borderId="0" xfId="0" applyNumberFormat="1" applyFont="1" applyFill="1" applyAlignment="1">
      <alignment horizontal="right" wrapText="1"/>
    </xf>
    <xf numFmtId="0" fontId="0" fillId="5" borderId="0" xfId="0" applyFill="1"/>
    <xf numFmtId="4" fontId="0" fillId="0" borderId="0" xfId="0" applyNumberFormat="1"/>
    <xf numFmtId="10" fontId="0" fillId="0" borderId="0" xfId="2" applyNumberFormat="1" applyFont="1"/>
    <xf numFmtId="10" fontId="0" fillId="0" borderId="0" xfId="1" applyNumberFormat="1" applyFont="1"/>
    <xf numFmtId="10" fontId="0" fillId="21" borderId="0" xfId="2" applyNumberFormat="1" applyFont="1" applyFill="1"/>
    <xf numFmtId="10" fontId="0" fillId="21" borderId="0" xfId="1" applyNumberFormat="1" applyFont="1" applyFill="1"/>
    <xf numFmtId="44" fontId="68" fillId="0" borderId="0" xfId="1" applyFont="1"/>
    <xf numFmtId="10" fontId="68" fillId="21" borderId="0" xfId="2" applyNumberFormat="1" applyFont="1" applyFill="1"/>
    <xf numFmtId="10" fontId="68" fillId="21" borderId="0" xfId="1" applyNumberFormat="1" applyFont="1" applyFill="1"/>
    <xf numFmtId="10" fontId="68" fillId="0" borderId="0" xfId="1" applyNumberFormat="1" applyFont="1"/>
    <xf numFmtId="10" fontId="68" fillId="0" borderId="0" xfId="2" applyNumberFormat="1" applyFont="1"/>
    <xf numFmtId="44" fontId="8" fillId="0" borderId="8" xfId="1" applyFont="1" applyBorder="1"/>
    <xf numFmtId="44" fontId="10" fillId="8" borderId="8" xfId="1" applyFont="1" applyFill="1" applyBorder="1" applyAlignment="1">
      <alignment vertical="center"/>
    </xf>
    <xf numFmtId="44" fontId="10" fillId="8" borderId="8" xfId="1" applyFont="1" applyFill="1" applyBorder="1" applyAlignment="1">
      <alignment vertical="center" wrapText="1"/>
    </xf>
    <xf numFmtId="44" fontId="9" fillId="0" borderId="8" xfId="1" applyFont="1" applyBorder="1"/>
    <xf numFmtId="0" fontId="70" fillId="0" borderId="0" xfId="0" applyFont="1"/>
    <xf numFmtId="0" fontId="71" fillId="0" borderId="0" xfId="4" applyFont="1"/>
    <xf numFmtId="0" fontId="72" fillId="16" borderId="4" xfId="0" applyFont="1" applyFill="1" applyBorder="1" applyAlignment="1">
      <alignment horizontal="center" wrapText="1"/>
    </xf>
    <xf numFmtId="0" fontId="72" fillId="44" borderId="4" xfId="0" applyFont="1" applyFill="1" applyBorder="1" applyAlignment="1">
      <alignment horizontal="center" wrapText="1"/>
    </xf>
    <xf numFmtId="0" fontId="72" fillId="14" borderId="4" xfId="0" applyFont="1" applyFill="1" applyBorder="1" applyAlignment="1">
      <alignment horizontal="center" wrapText="1"/>
    </xf>
    <xf numFmtId="0" fontId="72" fillId="43" borderId="4" xfId="0" applyFont="1" applyFill="1" applyBorder="1" applyAlignment="1">
      <alignment horizontal="center" wrapText="1"/>
    </xf>
    <xf numFmtId="0" fontId="72" fillId="42" borderId="15" xfId="0" applyFont="1" applyFill="1" applyBorder="1" applyAlignment="1">
      <alignment horizontal="center" wrapText="1"/>
    </xf>
    <xf numFmtId="0" fontId="72" fillId="41" borderId="16" xfId="0" applyFont="1" applyFill="1" applyBorder="1" applyAlignment="1">
      <alignment horizontal="center" wrapText="1"/>
    </xf>
    <xf numFmtId="0" fontId="72" fillId="40" borderId="17" xfId="0" applyFont="1" applyFill="1" applyBorder="1" applyAlignment="1">
      <alignment horizontal="center" wrapText="1"/>
    </xf>
    <xf numFmtId="0" fontId="72" fillId="39" borderId="15" xfId="0" applyFont="1" applyFill="1" applyBorder="1" applyAlignment="1">
      <alignment horizontal="center" wrapText="1"/>
    </xf>
    <xf numFmtId="0" fontId="72" fillId="35" borderId="16" xfId="0" applyFont="1" applyFill="1" applyBorder="1" applyAlignment="1">
      <alignment horizontal="center" wrapText="1"/>
    </xf>
    <xf numFmtId="0" fontId="72" fillId="29" borderId="16" xfId="0" applyFont="1" applyFill="1" applyBorder="1" applyAlignment="1">
      <alignment horizontal="center" wrapText="1"/>
    </xf>
    <xf numFmtId="0" fontId="72" fillId="38" borderId="17" xfId="0" applyFont="1" applyFill="1" applyBorder="1" applyAlignment="1">
      <alignment horizontal="center" wrapText="1"/>
    </xf>
    <xf numFmtId="0" fontId="72" fillId="29" borderId="4" xfId="0" applyFont="1" applyFill="1" applyBorder="1" applyAlignment="1">
      <alignment horizontal="center" wrapText="1"/>
    </xf>
    <xf numFmtId="0" fontId="72" fillId="38" borderId="4" xfId="0" applyFont="1" applyFill="1" applyBorder="1" applyAlignment="1">
      <alignment horizontal="center" wrapText="1"/>
    </xf>
    <xf numFmtId="0" fontId="69" fillId="0" borderId="4" xfId="0" applyFont="1" applyBorder="1" applyAlignment="1">
      <alignment horizontal="center" wrapText="1"/>
    </xf>
    <xf numFmtId="0" fontId="69" fillId="0" borderId="11" xfId="0" applyFont="1" applyBorder="1" applyAlignment="1">
      <alignment horizontal="center" wrapText="1"/>
    </xf>
    <xf numFmtId="164" fontId="70" fillId="16" borderId="8" xfId="0" applyNumberFormat="1" applyFont="1" applyFill="1" applyBorder="1" applyAlignment="1">
      <alignment wrapText="1"/>
    </xf>
    <xf numFmtId="170" fontId="70" fillId="3" borderId="8" xfId="1" applyNumberFormat="1" applyFont="1" applyFill="1" applyBorder="1" applyAlignment="1">
      <alignment horizontal="right" wrapText="1"/>
    </xf>
    <xf numFmtId="170" fontId="69" fillId="3" borderId="8" xfId="1" applyNumberFormat="1" applyFont="1" applyFill="1" applyBorder="1" applyAlignment="1">
      <alignment wrapText="1"/>
    </xf>
    <xf numFmtId="170" fontId="70" fillId="3" borderId="8" xfId="1" applyNumberFormat="1" applyFont="1" applyFill="1" applyBorder="1" applyAlignment="1">
      <alignment wrapText="1"/>
    </xf>
    <xf numFmtId="170" fontId="69" fillId="3" borderId="8" xfId="1" applyNumberFormat="1" applyFont="1" applyFill="1" applyBorder="1" applyAlignment="1">
      <alignment horizontal="right" wrapText="1"/>
    </xf>
    <xf numFmtId="170" fontId="69" fillId="43" borderId="8" xfId="1" applyNumberFormat="1" applyFont="1" applyFill="1" applyBorder="1" applyAlignment="1">
      <alignment horizontal="right" wrapText="1"/>
    </xf>
    <xf numFmtId="170" fontId="69" fillId="0" borderId="8" xfId="1" applyNumberFormat="1" applyFont="1" applyBorder="1" applyAlignment="1">
      <alignment horizontal="right" wrapText="1"/>
    </xf>
    <xf numFmtId="170" fontId="70" fillId="20" borderId="8" xfId="1" applyNumberFormat="1" applyFont="1" applyFill="1" applyBorder="1" applyAlignment="1">
      <alignment wrapText="1"/>
    </xf>
    <xf numFmtId="170" fontId="70" fillId="18" borderId="8" xfId="1" applyNumberFormat="1" applyFont="1" applyFill="1" applyBorder="1" applyAlignment="1">
      <alignment horizontal="right" wrapText="1"/>
    </xf>
    <xf numFmtId="170" fontId="70" fillId="18" borderId="8" xfId="1" applyNumberFormat="1" applyFont="1" applyFill="1" applyBorder="1" applyAlignment="1">
      <alignment wrapText="1"/>
    </xf>
    <xf numFmtId="170" fontId="74" fillId="18" borderId="8" xfId="1" applyNumberFormat="1" applyFont="1" applyFill="1" applyBorder="1" applyAlignment="1">
      <alignment horizontal="left" wrapText="1"/>
    </xf>
    <xf numFmtId="170" fontId="69" fillId="17" borderId="8" xfId="1" applyNumberFormat="1" applyFont="1" applyFill="1" applyBorder="1" applyAlignment="1">
      <alignment horizontal="right" wrapText="1"/>
    </xf>
    <xf numFmtId="170" fontId="75" fillId="18" borderId="8" xfId="1" applyNumberFormat="1" applyFont="1" applyFill="1" applyBorder="1" applyAlignment="1">
      <alignment horizontal="right" wrapText="1"/>
    </xf>
    <xf numFmtId="170" fontId="69" fillId="19" borderId="8" xfId="1" applyNumberFormat="1" applyFont="1" applyFill="1" applyBorder="1" applyAlignment="1">
      <alignment horizontal="right" wrapText="1"/>
    </xf>
    <xf numFmtId="170" fontId="70" fillId="14" borderId="8" xfId="1" applyNumberFormat="1" applyFont="1" applyFill="1" applyBorder="1" applyAlignment="1">
      <alignment wrapText="1"/>
    </xf>
    <xf numFmtId="170" fontId="70" fillId="5" borderId="8" xfId="1" applyNumberFormat="1" applyFont="1" applyFill="1" applyBorder="1" applyAlignment="1">
      <alignment horizontal="right" wrapText="1"/>
    </xf>
    <xf numFmtId="170" fontId="70" fillId="5" borderId="8" xfId="1" applyNumberFormat="1" applyFont="1" applyFill="1" applyBorder="1" applyAlignment="1">
      <alignment wrapText="1"/>
    </xf>
    <xf numFmtId="170" fontId="75" fillId="13" borderId="8" xfId="1" applyNumberFormat="1" applyFont="1" applyFill="1" applyBorder="1" applyAlignment="1">
      <alignment horizontal="right" wrapText="1"/>
    </xf>
    <xf numFmtId="170" fontId="69" fillId="13" borderId="8" xfId="1" applyNumberFormat="1" applyFont="1" applyFill="1" applyBorder="1" applyAlignment="1">
      <alignment horizontal="right" wrapText="1"/>
    </xf>
    <xf numFmtId="170" fontId="69" fillId="14" borderId="8" xfId="1" applyNumberFormat="1" applyFont="1" applyFill="1" applyBorder="1" applyAlignment="1">
      <alignment horizontal="right" wrapText="1"/>
    </xf>
    <xf numFmtId="170" fontId="70" fillId="21" borderId="8" xfId="1" applyNumberFormat="1" applyFont="1" applyFill="1" applyBorder="1" applyAlignment="1">
      <alignment wrapText="1"/>
    </xf>
    <xf numFmtId="170" fontId="70" fillId="22" borderId="8" xfId="1" applyNumberFormat="1" applyFont="1" applyFill="1" applyBorder="1" applyAlignment="1">
      <alignment wrapText="1"/>
    </xf>
    <xf numFmtId="170" fontId="70" fillId="22" borderId="8" xfId="1" applyNumberFormat="1" applyFont="1" applyFill="1" applyBorder="1" applyAlignment="1">
      <alignment horizontal="right" wrapText="1"/>
    </xf>
    <xf numFmtId="170" fontId="75" fillId="21" borderId="8" xfId="1" applyNumberFormat="1" applyFont="1" applyFill="1" applyBorder="1" applyAlignment="1">
      <alignment horizontal="right" wrapText="1"/>
    </xf>
    <xf numFmtId="170" fontId="69" fillId="21" borderId="8" xfId="1" applyNumberFormat="1" applyFont="1" applyFill="1" applyBorder="1" applyAlignment="1">
      <alignment horizontal="right" wrapText="1"/>
    </xf>
    <xf numFmtId="170" fontId="70" fillId="23" borderId="8" xfId="1" applyNumberFormat="1" applyFont="1" applyFill="1" applyBorder="1" applyAlignment="1">
      <alignment wrapText="1"/>
    </xf>
    <xf numFmtId="170" fontId="70" fillId="23" borderId="8" xfId="1" applyNumberFormat="1" applyFont="1" applyFill="1" applyBorder="1" applyAlignment="1">
      <alignment horizontal="right" wrapText="1"/>
    </xf>
    <xf numFmtId="170" fontId="69" fillId="23" borderId="8" xfId="1" applyNumberFormat="1" applyFont="1" applyFill="1" applyBorder="1" applyAlignment="1">
      <alignment horizontal="right" wrapText="1"/>
    </xf>
    <xf numFmtId="170" fontId="70" fillId="24" borderId="8" xfId="1" applyNumberFormat="1" applyFont="1" applyFill="1" applyBorder="1" applyAlignment="1">
      <alignment wrapText="1"/>
    </xf>
    <xf numFmtId="170" fontId="70" fillId="24" borderId="8" xfId="1" applyNumberFormat="1" applyFont="1" applyFill="1" applyBorder="1" applyAlignment="1">
      <alignment horizontal="right" wrapText="1"/>
    </xf>
    <xf numFmtId="170" fontId="69" fillId="24" borderId="8" xfId="1" applyNumberFormat="1" applyFont="1" applyFill="1" applyBorder="1" applyAlignment="1">
      <alignment wrapText="1"/>
    </xf>
    <xf numFmtId="170" fontId="70" fillId="26" borderId="8" xfId="1" applyNumberFormat="1" applyFont="1" applyFill="1" applyBorder="1" applyAlignment="1">
      <alignment wrapText="1"/>
    </xf>
    <xf numFmtId="170" fontId="75" fillId="25" borderId="8" xfId="1" applyNumberFormat="1" applyFont="1" applyFill="1" applyBorder="1" applyAlignment="1">
      <alignment horizontal="right" wrapText="1"/>
    </xf>
    <xf numFmtId="170" fontId="70" fillId="26" borderId="8" xfId="1" applyNumberFormat="1" applyFont="1" applyFill="1" applyBorder="1" applyAlignment="1">
      <alignment horizontal="right" wrapText="1"/>
    </xf>
    <xf numFmtId="170" fontId="69" fillId="25" borderId="8" xfId="1" applyNumberFormat="1" applyFont="1" applyFill="1" applyBorder="1" applyAlignment="1">
      <alignment horizontal="right" wrapText="1"/>
    </xf>
    <xf numFmtId="170" fontId="70" fillId="28" borderId="8" xfId="1" applyNumberFormat="1" applyFont="1" applyFill="1" applyBorder="1" applyAlignment="1">
      <alignment horizontal="right" wrapText="1"/>
    </xf>
    <xf numFmtId="170" fontId="75" fillId="27" borderId="8" xfId="1" applyNumberFormat="1" applyFont="1" applyFill="1" applyBorder="1" applyAlignment="1">
      <alignment wrapText="1"/>
    </xf>
    <xf numFmtId="170" fontId="70" fillId="28" borderId="8" xfId="1" applyNumberFormat="1" applyFont="1" applyFill="1" applyBorder="1" applyAlignment="1">
      <alignment wrapText="1"/>
    </xf>
    <xf numFmtId="170" fontId="69" fillId="27" borderId="8" xfId="1" applyNumberFormat="1" applyFont="1" applyFill="1" applyBorder="1" applyAlignment="1">
      <alignment horizontal="right" wrapText="1"/>
    </xf>
    <xf numFmtId="170" fontId="70" fillId="29" borderId="8" xfId="1" applyNumberFormat="1" applyFont="1" applyFill="1" applyBorder="1" applyAlignment="1">
      <alignment horizontal="right" wrapText="1"/>
    </xf>
    <xf numFmtId="170" fontId="70" fillId="29" borderId="8" xfId="1" applyNumberFormat="1" applyFont="1" applyFill="1" applyBorder="1" applyAlignment="1">
      <alignment wrapText="1"/>
    </xf>
    <xf numFmtId="170" fontId="70" fillId="30" borderId="8" xfId="1" applyNumberFormat="1" applyFont="1" applyFill="1" applyBorder="1" applyAlignment="1">
      <alignment wrapText="1"/>
    </xf>
    <xf numFmtId="170" fontId="70" fillId="30" borderId="8" xfId="1" applyNumberFormat="1" applyFont="1" applyFill="1" applyBorder="1" applyAlignment="1">
      <alignment horizontal="right" wrapText="1"/>
    </xf>
    <xf numFmtId="170" fontId="69" fillId="29" borderId="8" xfId="1" applyNumberFormat="1" applyFont="1" applyFill="1" applyBorder="1" applyAlignment="1">
      <alignment horizontal="right" wrapText="1"/>
    </xf>
    <xf numFmtId="170" fontId="70" fillId="31" borderId="8" xfId="1" applyNumberFormat="1" applyFont="1" applyFill="1" applyBorder="1" applyAlignment="1">
      <alignment wrapText="1"/>
    </xf>
    <xf numFmtId="170" fontId="75" fillId="31" borderId="8" xfId="1" applyNumberFormat="1" applyFont="1" applyFill="1" applyBorder="1" applyAlignment="1">
      <alignment wrapText="1"/>
    </xf>
    <xf numFmtId="170" fontId="70" fillId="31" borderId="8" xfId="1" applyNumberFormat="1" applyFont="1" applyFill="1" applyBorder="1" applyAlignment="1">
      <alignment horizontal="right" wrapText="1"/>
    </xf>
    <xf numFmtId="170" fontId="69" fillId="12" borderId="8" xfId="1" applyNumberFormat="1" applyFont="1" applyFill="1" applyBorder="1" applyAlignment="1">
      <alignment horizontal="right" wrapText="1"/>
    </xf>
    <xf numFmtId="170" fontId="70" fillId="0" borderId="8" xfId="1" applyNumberFormat="1" applyFont="1" applyBorder="1" applyAlignment="1">
      <alignment wrapText="1"/>
    </xf>
    <xf numFmtId="170" fontId="70" fillId="0" borderId="8" xfId="1" applyNumberFormat="1" applyFont="1" applyBorder="1" applyAlignment="1">
      <alignment horizontal="right" wrapText="1"/>
    </xf>
    <xf numFmtId="170" fontId="71" fillId="0" borderId="8" xfId="1" applyNumberFormat="1" applyFont="1" applyBorder="1" applyAlignment="1">
      <alignment horizontal="right" wrapText="1"/>
    </xf>
    <xf numFmtId="171" fontId="0" fillId="0" borderId="0" xfId="5" applyNumberFormat="1" applyFont="1"/>
    <xf numFmtId="164" fontId="76" fillId="0" borderId="0" xfId="0" applyNumberFormat="1" applyFont="1" applyAlignment="1">
      <alignment horizontal="right" wrapText="1"/>
    </xf>
    <xf numFmtId="0" fontId="70" fillId="0" borderId="55" xfId="0" applyFont="1" applyBorder="1" applyAlignment="1">
      <alignment wrapText="1"/>
    </xf>
    <xf numFmtId="0" fontId="70" fillId="0" borderId="56" xfId="0" applyFont="1" applyBorder="1" applyAlignment="1">
      <alignment wrapText="1"/>
    </xf>
    <xf numFmtId="0" fontId="69" fillId="0" borderId="57" xfId="0" applyFont="1" applyBorder="1" applyAlignment="1">
      <alignment horizontal="center" wrapText="1"/>
    </xf>
    <xf numFmtId="0" fontId="69" fillId="16" borderId="56" xfId="0" applyFont="1" applyFill="1" applyBorder="1" applyAlignment="1">
      <alignment horizontal="left" wrapText="1"/>
    </xf>
    <xf numFmtId="164" fontId="70" fillId="16" borderId="58" xfId="0" applyNumberFormat="1" applyFont="1" applyFill="1" applyBorder="1" applyAlignment="1">
      <alignment wrapText="1"/>
    </xf>
    <xf numFmtId="0" fontId="69" fillId="3" borderId="56" xfId="0" applyFont="1" applyFill="1" applyBorder="1" applyAlignment="1">
      <alignment horizontal="left" wrapText="1"/>
    </xf>
    <xf numFmtId="170" fontId="69" fillId="3" borderId="58" xfId="1" applyNumberFormat="1" applyFont="1" applyFill="1" applyBorder="1" applyAlignment="1">
      <alignment wrapText="1"/>
    </xf>
    <xf numFmtId="170" fontId="69" fillId="3" borderId="58" xfId="1" applyNumberFormat="1" applyFont="1" applyFill="1" applyBorder="1" applyAlignment="1">
      <alignment horizontal="right" wrapText="1"/>
    </xf>
    <xf numFmtId="0" fontId="69" fillId="43" borderId="56" xfId="0" applyFont="1" applyFill="1" applyBorder="1" applyAlignment="1">
      <alignment horizontal="left" wrapText="1"/>
    </xf>
    <xf numFmtId="170" fontId="69" fillId="43" borderId="58" xfId="1" applyNumberFormat="1" applyFont="1" applyFill="1" applyBorder="1" applyAlignment="1">
      <alignment horizontal="right" wrapText="1"/>
    </xf>
    <xf numFmtId="0" fontId="69" fillId="0" borderId="56" xfId="0" applyFont="1" applyBorder="1" applyAlignment="1">
      <alignment horizontal="left" wrapText="1"/>
    </xf>
    <xf numFmtId="170" fontId="69" fillId="0" borderId="58" xfId="1" applyNumberFormat="1" applyFont="1" applyBorder="1" applyAlignment="1">
      <alignment horizontal="right" wrapText="1"/>
    </xf>
    <xf numFmtId="0" fontId="69" fillId="20" borderId="56" xfId="0" applyFont="1" applyFill="1" applyBorder="1" applyAlignment="1">
      <alignment horizontal="left" wrapText="1"/>
    </xf>
    <xf numFmtId="170" fontId="70" fillId="20" borderId="58" xfId="1" applyNumberFormat="1" applyFont="1" applyFill="1" applyBorder="1" applyAlignment="1">
      <alignment wrapText="1"/>
    </xf>
    <xf numFmtId="0" fontId="73" fillId="18" borderId="56" xfId="0" applyFont="1" applyFill="1" applyBorder="1" applyAlignment="1">
      <alignment horizontal="left" wrapText="1"/>
    </xf>
    <xf numFmtId="170" fontId="70" fillId="18" borderId="58" xfId="1" applyNumberFormat="1" applyFont="1" applyFill="1" applyBorder="1" applyAlignment="1">
      <alignment horizontal="right" wrapText="1"/>
    </xf>
    <xf numFmtId="170" fontId="74" fillId="18" borderId="58" xfId="1" applyNumberFormat="1" applyFont="1" applyFill="1" applyBorder="1" applyAlignment="1">
      <alignment horizontal="left" wrapText="1"/>
    </xf>
    <xf numFmtId="0" fontId="69" fillId="17" borderId="56" xfId="0" applyFont="1" applyFill="1" applyBorder="1" applyAlignment="1">
      <alignment horizontal="left" wrapText="1"/>
    </xf>
    <xf numFmtId="170" fontId="69" fillId="17" borderId="58" xfId="1" applyNumberFormat="1" applyFont="1" applyFill="1" applyBorder="1" applyAlignment="1">
      <alignment horizontal="right" wrapText="1"/>
    </xf>
    <xf numFmtId="170" fontId="75" fillId="18" borderId="58" xfId="1" applyNumberFormat="1" applyFont="1" applyFill="1" applyBorder="1" applyAlignment="1">
      <alignment horizontal="right" wrapText="1"/>
    </xf>
    <xf numFmtId="0" fontId="69" fillId="18" borderId="56" xfId="0" applyFont="1" applyFill="1" applyBorder="1" applyAlignment="1">
      <alignment horizontal="left" wrapText="1"/>
    </xf>
    <xf numFmtId="0" fontId="69" fillId="19" borderId="56" xfId="0" applyFont="1" applyFill="1" applyBorder="1" applyAlignment="1">
      <alignment horizontal="left" wrapText="1"/>
    </xf>
    <xf numFmtId="170" fontId="69" fillId="19" borderId="58" xfId="1" applyNumberFormat="1" applyFont="1" applyFill="1" applyBorder="1" applyAlignment="1">
      <alignment horizontal="right" wrapText="1"/>
    </xf>
    <xf numFmtId="0" fontId="69" fillId="14" borderId="56" xfId="0" applyFont="1" applyFill="1" applyBorder="1" applyAlignment="1">
      <alignment horizontal="left" wrapText="1"/>
    </xf>
    <xf numFmtId="170" fontId="70" fillId="14" borderId="58" xfId="1" applyNumberFormat="1" applyFont="1" applyFill="1" applyBorder="1" applyAlignment="1">
      <alignment wrapText="1"/>
    </xf>
    <xf numFmtId="0" fontId="69" fillId="5" borderId="56" xfId="0" applyFont="1" applyFill="1" applyBorder="1" applyAlignment="1">
      <alignment horizontal="left" wrapText="1"/>
    </xf>
    <xf numFmtId="170" fontId="75" fillId="13" borderId="58" xfId="1" applyNumberFormat="1" applyFont="1" applyFill="1" applyBorder="1" applyAlignment="1">
      <alignment horizontal="right" wrapText="1"/>
    </xf>
    <xf numFmtId="0" fontId="69" fillId="13" borderId="56" xfId="0" applyFont="1" applyFill="1" applyBorder="1" applyAlignment="1">
      <alignment horizontal="left" wrapText="1"/>
    </xf>
    <xf numFmtId="170" fontId="69" fillId="13" borderId="58" xfId="1" applyNumberFormat="1" applyFont="1" applyFill="1" applyBorder="1" applyAlignment="1">
      <alignment horizontal="right" wrapText="1"/>
    </xf>
    <xf numFmtId="170" fontId="69" fillId="14" borderId="58" xfId="1" applyNumberFormat="1" applyFont="1" applyFill="1" applyBorder="1" applyAlignment="1">
      <alignment horizontal="right" wrapText="1"/>
    </xf>
    <xf numFmtId="0" fontId="69" fillId="21" borderId="56" xfId="0" applyFont="1" applyFill="1" applyBorder="1" applyAlignment="1">
      <alignment horizontal="left" wrapText="1"/>
    </xf>
    <xf numFmtId="170" fontId="70" fillId="21" borderId="58" xfId="1" applyNumberFormat="1" applyFont="1" applyFill="1" applyBorder="1" applyAlignment="1">
      <alignment wrapText="1"/>
    </xf>
    <xf numFmtId="0" fontId="69" fillId="22" borderId="56" xfId="0" applyFont="1" applyFill="1" applyBorder="1" applyAlignment="1">
      <alignment horizontal="left" wrapText="1"/>
    </xf>
    <xf numFmtId="170" fontId="75" fillId="21" borderId="58" xfId="1" applyNumberFormat="1" applyFont="1" applyFill="1" applyBorder="1" applyAlignment="1">
      <alignment horizontal="right" wrapText="1"/>
    </xf>
    <xf numFmtId="170" fontId="69" fillId="21" borderId="58" xfId="1" applyNumberFormat="1" applyFont="1" applyFill="1" applyBorder="1" applyAlignment="1">
      <alignment horizontal="right" wrapText="1"/>
    </xf>
    <xf numFmtId="0" fontId="69" fillId="23" borderId="56" xfId="0" applyFont="1" applyFill="1" applyBorder="1" applyAlignment="1">
      <alignment horizontal="left" wrapText="1"/>
    </xf>
    <xf numFmtId="170" fontId="69" fillId="23" borderId="58" xfId="1" applyNumberFormat="1" applyFont="1" applyFill="1" applyBorder="1" applyAlignment="1">
      <alignment horizontal="right" wrapText="1"/>
    </xf>
    <xf numFmtId="0" fontId="69" fillId="24" borderId="56" xfId="0" applyFont="1" applyFill="1" applyBorder="1" applyAlignment="1">
      <alignment horizontal="left" wrapText="1"/>
    </xf>
    <xf numFmtId="170" fontId="69" fillId="24" borderId="58" xfId="1" applyNumberFormat="1" applyFont="1" applyFill="1" applyBorder="1" applyAlignment="1">
      <alignment wrapText="1"/>
    </xf>
    <xf numFmtId="0" fontId="69" fillId="26" borderId="56" xfId="0" applyFont="1" applyFill="1" applyBorder="1" applyAlignment="1">
      <alignment horizontal="left" wrapText="1"/>
    </xf>
    <xf numFmtId="170" fontId="75" fillId="25" borderId="58" xfId="1" applyNumberFormat="1" applyFont="1" applyFill="1" applyBorder="1" applyAlignment="1">
      <alignment horizontal="right" wrapText="1"/>
    </xf>
    <xf numFmtId="0" fontId="69" fillId="25" borderId="56" xfId="0" applyFont="1" applyFill="1" applyBorder="1" applyAlignment="1">
      <alignment horizontal="left" wrapText="1"/>
    </xf>
    <xf numFmtId="170" fontId="69" fillId="25" borderId="58" xfId="1" applyNumberFormat="1" applyFont="1" applyFill="1" applyBorder="1" applyAlignment="1">
      <alignment horizontal="right" wrapText="1"/>
    </xf>
    <xf numFmtId="0" fontId="69" fillId="28" borderId="56" xfId="0" applyFont="1" applyFill="1" applyBorder="1" applyAlignment="1">
      <alignment horizontal="left" wrapText="1"/>
    </xf>
    <xf numFmtId="170" fontId="75" fillId="27" borderId="58" xfId="1" applyNumberFormat="1" applyFont="1" applyFill="1" applyBorder="1" applyAlignment="1">
      <alignment wrapText="1"/>
    </xf>
    <xf numFmtId="0" fontId="69" fillId="27" borderId="56" xfId="0" applyFont="1" applyFill="1" applyBorder="1" applyAlignment="1">
      <alignment horizontal="left" wrapText="1"/>
    </xf>
    <xf numFmtId="170" fontId="69" fillId="27" borderId="58" xfId="1" applyNumberFormat="1" applyFont="1" applyFill="1" applyBorder="1" applyAlignment="1">
      <alignment horizontal="right" wrapText="1"/>
    </xf>
    <xf numFmtId="0" fontId="69" fillId="29" borderId="56" xfId="0" applyFont="1" applyFill="1" applyBorder="1" applyAlignment="1">
      <alignment horizontal="left" wrapText="1"/>
    </xf>
    <xf numFmtId="170" fontId="70" fillId="29" borderId="58" xfId="1" applyNumberFormat="1" applyFont="1" applyFill="1" applyBorder="1" applyAlignment="1">
      <alignment wrapText="1"/>
    </xf>
    <xf numFmtId="0" fontId="69" fillId="30" borderId="56" xfId="0" applyFont="1" applyFill="1" applyBorder="1" applyAlignment="1">
      <alignment horizontal="left" wrapText="1"/>
    </xf>
    <xf numFmtId="170" fontId="70" fillId="30" borderId="58" xfId="1" applyNumberFormat="1" applyFont="1" applyFill="1" applyBorder="1" applyAlignment="1">
      <alignment horizontal="right" wrapText="1"/>
    </xf>
    <xf numFmtId="170" fontId="69" fillId="29" borderId="58" xfId="1" applyNumberFormat="1" applyFont="1" applyFill="1" applyBorder="1" applyAlignment="1">
      <alignment horizontal="right" wrapText="1"/>
    </xf>
    <xf numFmtId="0" fontId="69" fillId="31" borderId="56" xfId="0" applyFont="1" applyFill="1" applyBorder="1" applyAlignment="1">
      <alignment horizontal="left" wrapText="1"/>
    </xf>
    <xf numFmtId="170" fontId="75" fillId="31" borderId="58" xfId="1" applyNumberFormat="1" applyFont="1" applyFill="1" applyBorder="1" applyAlignment="1">
      <alignment wrapText="1"/>
    </xf>
    <xf numFmtId="0" fontId="69" fillId="12" borderId="56" xfId="0" applyFont="1" applyFill="1" applyBorder="1" applyAlignment="1">
      <alignment horizontal="left" wrapText="1"/>
    </xf>
    <xf numFmtId="170" fontId="69" fillId="12" borderId="58" xfId="1" applyNumberFormat="1" applyFont="1" applyFill="1" applyBorder="1" applyAlignment="1">
      <alignment horizontal="right" wrapText="1"/>
    </xf>
    <xf numFmtId="164" fontId="76" fillId="0" borderId="59" xfId="0" applyNumberFormat="1" applyFont="1" applyBorder="1" applyAlignment="1">
      <alignment horizontal="right" wrapText="1"/>
    </xf>
    <xf numFmtId="170" fontId="70" fillId="0" borderId="58" xfId="1" applyNumberFormat="1" applyFont="1" applyBorder="1" applyAlignment="1">
      <alignment wrapText="1"/>
    </xf>
    <xf numFmtId="164" fontId="69" fillId="28" borderId="56" xfId="0" applyNumberFormat="1" applyFont="1" applyFill="1" applyBorder="1" applyAlignment="1">
      <alignment wrapText="1"/>
    </xf>
    <xf numFmtId="170" fontId="70" fillId="28" borderId="58" xfId="1" applyNumberFormat="1" applyFont="1" applyFill="1" applyBorder="1" applyAlignment="1">
      <alignment wrapText="1"/>
    </xf>
    <xf numFmtId="170" fontId="71" fillId="0" borderId="58" xfId="1" applyNumberFormat="1" applyFont="1" applyBorder="1" applyAlignment="1">
      <alignment horizontal="right" wrapText="1"/>
    </xf>
    <xf numFmtId="0" fontId="69" fillId="0" borderId="60" xfId="0" applyFont="1" applyBorder="1" applyAlignment="1">
      <alignment horizontal="left" wrapText="1"/>
    </xf>
    <xf numFmtId="170" fontId="69" fillId="0" borderId="61" xfId="1" applyNumberFormat="1" applyFont="1" applyBorder="1" applyAlignment="1">
      <alignment horizontal="right" wrapText="1"/>
    </xf>
    <xf numFmtId="170" fontId="69" fillId="0" borderId="62" xfId="1" applyNumberFormat="1" applyFont="1" applyBorder="1" applyAlignment="1">
      <alignment horizontal="right" wrapText="1"/>
    </xf>
    <xf numFmtId="0" fontId="78" fillId="0" borderId="0" xfId="0" applyFont="1"/>
    <xf numFmtId="0" fontId="61" fillId="45" borderId="52" xfId="0" applyFont="1" applyFill="1" applyBorder="1" applyAlignment="1">
      <alignment horizontal="center" vertical="center"/>
    </xf>
    <xf numFmtId="43" fontId="64" fillId="0" borderId="0" xfId="5" applyFont="1" applyAlignment="1">
      <alignment vertical="center"/>
    </xf>
    <xf numFmtId="0" fontId="65" fillId="0" borderId="0" xfId="0" applyFont="1"/>
    <xf numFmtId="0" fontId="66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0" fontId="3" fillId="0" borderId="0" xfId="0" applyFont="1"/>
    <xf numFmtId="44" fontId="0" fillId="0" borderId="0" xfId="1" applyFont="1" applyAlignment="1"/>
    <xf numFmtId="0" fontId="47" fillId="16" borderId="4" xfId="0" applyFont="1" applyFill="1" applyBorder="1" applyAlignment="1">
      <alignment horizontal="center"/>
    </xf>
    <xf numFmtId="0" fontId="0" fillId="0" borderId="8" xfId="0" applyBorder="1"/>
    <xf numFmtId="0" fontId="1" fillId="0" borderId="11" xfId="0" applyFont="1" applyBorder="1" applyAlignment="1">
      <alignment horizontal="center"/>
    </xf>
    <xf numFmtId="0" fontId="2" fillId="16" borderId="8" xfId="0" applyFont="1" applyFill="1" applyBorder="1" applyAlignment="1">
      <alignment horizontal="left"/>
    </xf>
    <xf numFmtId="164" fontId="3" fillId="16" borderId="8" xfId="0" applyNumberFormat="1" applyFont="1" applyFill="1" applyBorder="1"/>
    <xf numFmtId="0" fontId="2" fillId="3" borderId="8" xfId="0" applyFont="1" applyFill="1" applyBorder="1" applyAlignment="1">
      <alignment horizontal="left"/>
    </xf>
    <xf numFmtId="164" fontId="3" fillId="3" borderId="8" xfId="0" applyNumberFormat="1" applyFont="1" applyFill="1" applyBorder="1"/>
    <xf numFmtId="165" fontId="2" fillId="3" borderId="8" xfId="0" applyNumberFormat="1" applyFont="1" applyFill="1" applyBorder="1" applyAlignment="1">
      <alignment horizontal="right"/>
    </xf>
    <xf numFmtId="0" fontId="47" fillId="46" borderId="8" xfId="0" applyFont="1" applyFill="1" applyBorder="1" applyAlignment="1">
      <alignment horizontal="center" vertical="center"/>
    </xf>
    <xf numFmtId="0" fontId="47" fillId="46" borderId="8" xfId="0" applyFont="1" applyFill="1" applyBorder="1" applyAlignment="1">
      <alignment horizontal="left" vertical="center"/>
    </xf>
    <xf numFmtId="0" fontId="61" fillId="45" borderId="8" xfId="0" applyFont="1" applyFill="1" applyBorder="1" applyAlignment="1">
      <alignment horizontal="left" vertical="center"/>
    </xf>
    <xf numFmtId="0" fontId="52" fillId="0" borderId="48" xfId="0" applyFont="1" applyBorder="1" applyAlignment="1">
      <alignment vertical="center"/>
    </xf>
    <xf numFmtId="164" fontId="2" fillId="3" borderId="8" xfId="0" applyNumberFormat="1" applyFont="1" applyFill="1" applyBorder="1" applyAlignment="1">
      <alignment horizontal="right"/>
    </xf>
    <xf numFmtId="164" fontId="3" fillId="3" borderId="8" xfId="0" applyNumberFormat="1" applyFont="1" applyFill="1" applyBorder="1" applyAlignment="1">
      <alignment horizontal="right"/>
    </xf>
    <xf numFmtId="0" fontId="2" fillId="43" borderId="8" xfId="0" applyFont="1" applyFill="1" applyBorder="1" applyAlignment="1">
      <alignment horizontal="left"/>
    </xf>
    <xf numFmtId="165" fontId="2" fillId="43" borderId="8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left"/>
    </xf>
    <xf numFmtId="165" fontId="2" fillId="0" borderId="8" xfId="0" applyNumberFormat="1" applyFont="1" applyBorder="1" applyAlignment="1">
      <alignment horizontal="right"/>
    </xf>
    <xf numFmtId="0" fontId="2" fillId="20" borderId="8" xfId="0" applyFont="1" applyFill="1" applyBorder="1" applyAlignment="1">
      <alignment horizontal="left"/>
    </xf>
    <xf numFmtId="164" fontId="3" fillId="20" borderId="8" xfId="0" applyNumberFormat="1" applyFont="1" applyFill="1" applyBorder="1"/>
    <xf numFmtId="0" fontId="52" fillId="0" borderId="49" xfId="0" applyFont="1" applyBorder="1" applyAlignment="1">
      <alignment vertical="center"/>
    </xf>
    <xf numFmtId="0" fontId="2" fillId="19" borderId="8" xfId="0" applyFont="1" applyFill="1" applyBorder="1" applyAlignment="1">
      <alignment horizontal="left"/>
    </xf>
    <xf numFmtId="164" fontId="3" fillId="19" borderId="8" xfId="0" applyNumberFormat="1" applyFont="1" applyFill="1" applyBorder="1"/>
    <xf numFmtId="0" fontId="24" fillId="18" borderId="8" xfId="0" applyFont="1" applyFill="1" applyBorder="1" applyAlignment="1">
      <alignment horizontal="left"/>
    </xf>
    <xf numFmtId="164" fontId="3" fillId="18" borderId="8" xfId="0" applyNumberFormat="1" applyFont="1" applyFill="1" applyBorder="1" applyAlignment="1">
      <alignment horizontal="right"/>
    </xf>
    <xf numFmtId="0" fontId="2" fillId="17" borderId="8" xfId="0" applyFont="1" applyFill="1" applyBorder="1" applyAlignment="1">
      <alignment horizontal="left"/>
    </xf>
    <xf numFmtId="165" fontId="2" fillId="17" borderId="8" xfId="0" applyNumberFormat="1" applyFont="1" applyFill="1" applyBorder="1" applyAlignment="1">
      <alignment horizontal="right"/>
    </xf>
    <xf numFmtId="0" fontId="61" fillId="45" borderId="49" xfId="0" applyFont="1" applyFill="1" applyBorder="1" applyAlignment="1">
      <alignment horizontal="center" vertical="center"/>
    </xf>
    <xf numFmtId="0" fontId="61" fillId="45" borderId="49" xfId="0" applyFont="1" applyFill="1" applyBorder="1" applyAlignment="1">
      <alignment horizontal="left" vertical="center"/>
    </xf>
    <xf numFmtId="0" fontId="2" fillId="18" borderId="8" xfId="0" applyFont="1" applyFill="1" applyBorder="1" applyAlignment="1">
      <alignment horizontal="left"/>
    </xf>
    <xf numFmtId="165" fontId="2" fillId="19" borderId="8" xfId="0" applyNumberFormat="1" applyFont="1" applyFill="1" applyBorder="1" applyAlignment="1">
      <alignment horizontal="right"/>
    </xf>
    <xf numFmtId="0" fontId="2" fillId="14" borderId="8" xfId="0" applyFont="1" applyFill="1" applyBorder="1" applyAlignment="1">
      <alignment horizontal="left"/>
    </xf>
    <xf numFmtId="164" fontId="3" fillId="14" borderId="8" xfId="0" applyNumberFormat="1" applyFont="1" applyFill="1" applyBorder="1"/>
    <xf numFmtId="0" fontId="2" fillId="5" borderId="8" xfId="0" applyFont="1" applyFill="1" applyBorder="1" applyAlignment="1">
      <alignment horizontal="left"/>
    </xf>
    <xf numFmtId="164" fontId="3" fillId="5" borderId="8" xfId="0" applyNumberFormat="1" applyFont="1" applyFill="1" applyBorder="1" applyAlignment="1">
      <alignment horizontal="right"/>
    </xf>
    <xf numFmtId="0" fontId="2" fillId="13" borderId="8" xfId="0" applyFont="1" applyFill="1" applyBorder="1" applyAlignment="1">
      <alignment horizontal="left"/>
    </xf>
    <xf numFmtId="165" fontId="2" fillId="13" borderId="8" xfId="0" applyNumberFormat="1" applyFont="1" applyFill="1" applyBorder="1" applyAlignment="1">
      <alignment horizontal="right"/>
    </xf>
    <xf numFmtId="165" fontId="2" fillId="14" borderId="8" xfId="0" applyNumberFormat="1" applyFont="1" applyFill="1" applyBorder="1" applyAlignment="1">
      <alignment horizontal="right"/>
    </xf>
    <xf numFmtId="0" fontId="2" fillId="21" borderId="8" xfId="0" applyFont="1" applyFill="1" applyBorder="1" applyAlignment="1">
      <alignment horizontal="left"/>
    </xf>
    <xf numFmtId="164" fontId="3" fillId="21" borderId="8" xfId="0" applyNumberFormat="1" applyFont="1" applyFill="1" applyBorder="1"/>
    <xf numFmtId="0" fontId="48" fillId="22" borderId="8" xfId="0" applyFont="1" applyFill="1" applyBorder="1" applyAlignment="1">
      <alignment horizontal="left"/>
    </xf>
    <xf numFmtId="164" fontId="3" fillId="22" borderId="8" xfId="0" applyNumberFormat="1" applyFont="1" applyFill="1" applyBorder="1"/>
    <xf numFmtId="0" fontId="2" fillId="22" borderId="8" xfId="0" applyFont="1" applyFill="1" applyBorder="1" applyAlignment="1">
      <alignment horizontal="left"/>
    </xf>
    <xf numFmtId="165" fontId="2" fillId="21" borderId="8" xfId="0" applyNumberFormat="1" applyFont="1" applyFill="1" applyBorder="1" applyAlignment="1">
      <alignment horizontal="right"/>
    </xf>
    <xf numFmtId="0" fontId="2" fillId="23" borderId="8" xfId="0" applyFont="1" applyFill="1" applyBorder="1" applyAlignment="1">
      <alignment horizontal="left"/>
    </xf>
    <xf numFmtId="164" fontId="3" fillId="23" borderId="8" xfId="0" applyNumberFormat="1" applyFont="1" applyFill="1" applyBorder="1" applyAlignment="1">
      <alignment horizontal="right"/>
    </xf>
    <xf numFmtId="0" fontId="2" fillId="24" borderId="8" xfId="0" applyFont="1" applyFill="1" applyBorder="1" applyAlignment="1">
      <alignment horizontal="left"/>
    </xf>
    <xf numFmtId="164" fontId="3" fillId="24" borderId="8" xfId="0" applyNumberFormat="1" applyFont="1" applyFill="1" applyBorder="1" applyAlignment="1">
      <alignment horizontal="right"/>
    </xf>
    <xf numFmtId="0" fontId="2" fillId="25" borderId="8" xfId="0" applyFont="1" applyFill="1" applyBorder="1" applyAlignment="1">
      <alignment horizontal="left"/>
    </xf>
    <xf numFmtId="164" fontId="3" fillId="25" borderId="8" xfId="0" applyNumberFormat="1" applyFont="1" applyFill="1" applyBorder="1"/>
    <xf numFmtId="0" fontId="2" fillId="26" borderId="8" xfId="0" applyFont="1" applyFill="1" applyBorder="1" applyAlignment="1">
      <alignment horizontal="left"/>
    </xf>
    <xf numFmtId="164" fontId="3" fillId="26" borderId="8" xfId="0" applyNumberFormat="1" applyFont="1" applyFill="1" applyBorder="1" applyAlignment="1">
      <alignment horizontal="right"/>
    </xf>
    <xf numFmtId="165" fontId="2" fillId="25" borderId="8" xfId="0" applyNumberFormat="1" applyFont="1" applyFill="1" applyBorder="1" applyAlignment="1">
      <alignment horizontal="right"/>
    </xf>
    <xf numFmtId="0" fontId="2" fillId="27" borderId="8" xfId="0" applyFont="1" applyFill="1" applyBorder="1" applyAlignment="1">
      <alignment horizontal="left"/>
    </xf>
    <xf numFmtId="164" fontId="3" fillId="27" borderId="8" xfId="0" applyNumberFormat="1" applyFont="1" applyFill="1" applyBorder="1" applyAlignment="1">
      <alignment horizontal="right"/>
    </xf>
    <xf numFmtId="0" fontId="2" fillId="28" borderId="8" xfId="0" applyFont="1" applyFill="1" applyBorder="1" applyAlignment="1">
      <alignment horizontal="left"/>
    </xf>
    <xf numFmtId="164" fontId="3" fillId="28" borderId="8" xfId="0" applyNumberFormat="1" applyFont="1" applyFill="1" applyBorder="1" applyAlignment="1">
      <alignment horizontal="right"/>
    </xf>
    <xf numFmtId="164" fontId="3" fillId="28" borderId="8" xfId="0" applyNumberFormat="1" applyFont="1" applyFill="1" applyBorder="1"/>
    <xf numFmtId="165" fontId="2" fillId="27" borderId="8" xfId="0" applyNumberFormat="1" applyFont="1" applyFill="1" applyBorder="1" applyAlignment="1">
      <alignment horizontal="right"/>
    </xf>
    <xf numFmtId="0" fontId="2" fillId="29" borderId="8" xfId="0" applyFont="1" applyFill="1" applyBorder="1" applyAlignment="1">
      <alignment horizontal="left"/>
    </xf>
    <xf numFmtId="164" fontId="3" fillId="29" borderId="8" xfId="0" applyNumberFormat="1" applyFont="1" applyFill="1" applyBorder="1"/>
    <xf numFmtId="0" fontId="2" fillId="30" borderId="8" xfId="0" applyFont="1" applyFill="1" applyBorder="1" applyAlignment="1">
      <alignment horizontal="left"/>
    </xf>
    <xf numFmtId="164" fontId="3" fillId="30" borderId="8" xfId="0" applyNumberFormat="1" applyFont="1" applyFill="1" applyBorder="1"/>
    <xf numFmtId="164" fontId="3" fillId="30" borderId="8" xfId="0" applyNumberFormat="1" applyFont="1" applyFill="1" applyBorder="1" applyAlignment="1">
      <alignment horizontal="right"/>
    </xf>
    <xf numFmtId="165" fontId="2" fillId="29" borderId="8" xfId="0" applyNumberFormat="1" applyFont="1" applyFill="1" applyBorder="1" applyAlignment="1">
      <alignment horizontal="right"/>
    </xf>
    <xf numFmtId="0" fontId="2" fillId="12" borderId="8" xfId="0" applyFont="1" applyFill="1" applyBorder="1" applyAlignment="1">
      <alignment horizontal="left"/>
    </xf>
    <xf numFmtId="164" fontId="3" fillId="12" borderId="8" xfId="0" applyNumberFormat="1" applyFont="1" applyFill="1" applyBorder="1" applyAlignment="1">
      <alignment horizontal="right"/>
    </xf>
    <xf numFmtId="0" fontId="2" fillId="31" borderId="8" xfId="0" applyFont="1" applyFill="1" applyBorder="1" applyAlignment="1">
      <alignment horizontal="left"/>
    </xf>
    <xf numFmtId="164" fontId="3" fillId="31" borderId="8" xfId="0" applyNumberFormat="1" applyFont="1" applyFill="1" applyBorder="1"/>
    <xf numFmtId="164" fontId="3" fillId="31" borderId="8" xfId="0" applyNumberFormat="1" applyFont="1" applyFill="1" applyBorder="1" applyAlignment="1">
      <alignment horizontal="right"/>
    </xf>
    <xf numFmtId="165" fontId="2" fillId="12" borderId="8" xfId="0" applyNumberFormat="1" applyFont="1" applyFill="1" applyBorder="1" applyAlignment="1">
      <alignment horizontal="right"/>
    </xf>
    <xf numFmtId="164" fontId="3" fillId="0" borderId="8" xfId="0" applyNumberFormat="1" applyFont="1" applyBorder="1"/>
    <xf numFmtId="164" fontId="3" fillId="0" borderId="8" xfId="0" applyNumberFormat="1" applyFont="1" applyBorder="1" applyAlignment="1">
      <alignment horizontal="right"/>
    </xf>
    <xf numFmtId="165" fontId="6" fillId="0" borderId="8" xfId="4" applyNumberFormat="1" applyBorder="1" applyAlignment="1">
      <alignment horizontal="righ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77" fillId="0" borderId="0" xfId="0" applyFont="1" applyAlignment="1">
      <alignment horizontal="center"/>
    </xf>
    <xf numFmtId="0" fontId="52" fillId="0" borderId="50" xfId="0" applyFont="1" applyBorder="1" applyAlignment="1">
      <alignment horizontal="left" vertical="center"/>
    </xf>
    <xf numFmtId="0" fontId="52" fillId="0" borderId="52" xfId="0" applyFont="1" applyBorder="1" applyAlignment="1">
      <alignment horizontal="left" vertical="center"/>
    </xf>
    <xf numFmtId="0" fontId="61" fillId="0" borderId="50" xfId="0" applyFont="1" applyBorder="1" applyAlignment="1">
      <alignment horizontal="right" vertical="center"/>
    </xf>
    <xf numFmtId="0" fontId="61" fillId="0" borderId="52" xfId="0" applyFont="1" applyBorder="1" applyAlignment="1">
      <alignment horizontal="right" vertical="center"/>
    </xf>
    <xf numFmtId="0" fontId="64" fillId="0" borderId="0" xfId="0" applyFont="1" applyAlignment="1">
      <alignment horizontal="left"/>
    </xf>
    <xf numFmtId="0" fontId="61" fillId="45" borderId="50" xfId="0" applyFont="1" applyFill="1" applyBorder="1" applyAlignment="1">
      <alignment horizontal="center" vertical="center"/>
    </xf>
    <xf numFmtId="0" fontId="61" fillId="45" borderId="51" xfId="0" applyFont="1" applyFill="1" applyBorder="1" applyAlignment="1">
      <alignment horizontal="center" vertical="center"/>
    </xf>
    <xf numFmtId="0" fontId="61" fillId="45" borderId="52" xfId="0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3" fillId="0" borderId="0" xfId="0" applyFont="1" applyAlignment="1">
      <alignment horizontal="left" vertical="top"/>
    </xf>
    <xf numFmtId="0" fontId="54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2" fillId="0" borderId="6" xfId="0" applyFont="1" applyBorder="1" applyAlignment="1">
      <alignment horizontal="left"/>
    </xf>
    <xf numFmtId="0" fontId="63" fillId="0" borderId="13" xfId="0" applyFont="1" applyBorder="1" applyAlignment="1">
      <alignment horizontal="left"/>
    </xf>
    <xf numFmtId="0" fontId="63" fillId="0" borderId="7" xfId="0" applyFont="1" applyBorder="1" applyAlignment="1">
      <alignment horizontal="left"/>
    </xf>
    <xf numFmtId="0" fontId="52" fillId="0" borderId="51" xfId="0" applyFont="1" applyBorder="1" applyAlignment="1">
      <alignment horizontal="left" vertical="center"/>
    </xf>
    <xf numFmtId="0" fontId="61" fillId="0" borderId="51" xfId="0" applyFont="1" applyBorder="1" applyAlignment="1">
      <alignment horizontal="right" vertical="center"/>
    </xf>
    <xf numFmtId="0" fontId="61" fillId="45" borderId="53" xfId="0" applyFont="1" applyFill="1" applyBorder="1" applyAlignment="1">
      <alignment horizontal="center" vertical="center"/>
    </xf>
    <xf numFmtId="0" fontId="61" fillId="45" borderId="54" xfId="0" applyFont="1" applyFill="1" applyBorder="1" applyAlignment="1">
      <alignment horizontal="center" vertical="center"/>
    </xf>
    <xf numFmtId="0" fontId="52" fillId="0" borderId="50" xfId="0" applyFont="1" applyBorder="1" applyAlignment="1">
      <alignment horizontal="left" vertical="center" wrapText="1"/>
    </xf>
    <xf numFmtId="0" fontId="52" fillId="0" borderId="52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44" fontId="10" fillId="8" borderId="2" xfId="1" applyFont="1" applyFill="1" applyBorder="1" applyAlignment="1">
      <alignment horizontal="left" vertical="center" wrapText="1"/>
    </xf>
    <xf numFmtId="44" fontId="18" fillId="11" borderId="6" xfId="1" applyFont="1" applyFill="1" applyBorder="1" applyAlignment="1" applyProtection="1">
      <alignment horizontal="left" vertical="center" wrapText="1"/>
      <protection locked="0"/>
    </xf>
    <xf numFmtId="44" fontId="18" fillId="11" borderId="13" xfId="1" applyFont="1" applyFill="1" applyBorder="1" applyAlignment="1" applyProtection="1">
      <alignment horizontal="left" vertical="center" wrapText="1"/>
      <protection locked="0"/>
    </xf>
    <xf numFmtId="44" fontId="18" fillId="11" borderId="7" xfId="1" applyFont="1" applyFill="1" applyBorder="1" applyAlignment="1" applyProtection="1">
      <alignment horizontal="left" vertical="center" wrapText="1"/>
      <protection locked="0"/>
    </xf>
    <xf numFmtId="44" fontId="19" fillId="4" borderId="6" xfId="1" applyFont="1" applyFill="1" applyBorder="1" applyAlignment="1">
      <alignment horizontal="center" vertical="center" wrapText="1"/>
    </xf>
    <xf numFmtId="44" fontId="19" fillId="4" borderId="13" xfId="1" applyFont="1" applyFill="1" applyBorder="1" applyAlignment="1">
      <alignment horizontal="center" vertical="center" wrapText="1"/>
    </xf>
    <xf numFmtId="44" fontId="19" fillId="4" borderId="7" xfId="1" applyFont="1" applyFill="1" applyBorder="1" applyAlignment="1">
      <alignment horizontal="center" vertical="center" wrapText="1"/>
    </xf>
    <xf numFmtId="44" fontId="20" fillId="4" borderId="6" xfId="1" applyFont="1" applyFill="1" applyBorder="1" applyAlignment="1">
      <alignment horizontal="left" vertical="center" wrapText="1"/>
    </xf>
    <xf numFmtId="44" fontId="20" fillId="4" borderId="13" xfId="1" applyFont="1" applyFill="1" applyBorder="1" applyAlignment="1">
      <alignment horizontal="left" vertical="center" wrapText="1"/>
    </xf>
    <xf numFmtId="44" fontId="20" fillId="4" borderId="7" xfId="1" applyFont="1" applyFill="1" applyBorder="1" applyAlignment="1">
      <alignment horizontal="left" vertical="center" wrapText="1"/>
    </xf>
    <xf numFmtId="44" fontId="20" fillId="11" borderId="6" xfId="1" applyFont="1" applyFill="1" applyBorder="1" applyAlignment="1" applyProtection="1">
      <alignment horizontal="left" vertical="center" wrapText="1"/>
      <protection locked="0"/>
    </xf>
    <xf numFmtId="44" fontId="20" fillId="11" borderId="13" xfId="1" applyFont="1" applyFill="1" applyBorder="1" applyAlignment="1" applyProtection="1">
      <alignment horizontal="left" vertical="center" wrapText="1"/>
      <protection locked="0"/>
    </xf>
    <xf numFmtId="44" fontId="20" fillId="11" borderId="7" xfId="1" applyFont="1" applyFill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34" fillId="32" borderId="11" xfId="3" applyFont="1" applyFill="1" applyBorder="1" applyAlignment="1">
      <alignment horizontal="left" vertical="top" wrapText="1"/>
    </xf>
    <xf numFmtId="0" fontId="34" fillId="32" borderId="11" xfId="3" applyFont="1" applyFill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34" fillId="32" borderId="8" xfId="3" applyFont="1" applyFill="1" applyBorder="1" applyAlignment="1">
      <alignment horizontal="left" vertical="top" wrapText="1"/>
    </xf>
    <xf numFmtId="0" fontId="34" fillId="32" borderId="8" xfId="3" applyFont="1" applyFill="1" applyBorder="1" applyAlignment="1">
      <alignment horizontal="center" vertical="top" wrapText="1"/>
    </xf>
    <xf numFmtId="0" fontId="26" fillId="32" borderId="0" xfId="0" applyFont="1" applyFill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6" fillId="32" borderId="8" xfId="3" applyFont="1" applyFill="1" applyBorder="1" applyAlignment="1">
      <alignment horizontal="center" vertical="center" wrapText="1"/>
    </xf>
    <xf numFmtId="0" fontId="34" fillId="32" borderId="28" xfId="3" applyFont="1" applyFill="1" applyBorder="1" applyAlignment="1">
      <alignment horizontal="center" vertical="center" wrapText="1"/>
    </xf>
    <xf numFmtId="0" fontId="34" fillId="32" borderId="29" xfId="3" applyFont="1" applyFill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top" wrapText="1"/>
    </xf>
    <xf numFmtId="0" fontId="33" fillId="0" borderId="31" xfId="0" applyFont="1" applyBorder="1" applyAlignment="1">
      <alignment horizontal="center" vertical="top" wrapText="1"/>
    </xf>
    <xf numFmtId="0" fontId="33" fillId="0" borderId="5" xfId="0" applyFont="1" applyBorder="1" applyAlignment="1">
      <alignment horizontal="center" vertical="top" wrapText="1"/>
    </xf>
    <xf numFmtId="0" fontId="39" fillId="0" borderId="32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33" xfId="0" applyFont="1" applyBorder="1" applyAlignment="1">
      <alignment horizontal="left" vertical="top" wrapText="1"/>
    </xf>
    <xf numFmtId="0" fontId="34" fillId="32" borderId="3" xfId="3" applyFont="1" applyFill="1" applyAlignment="1">
      <alignment horizontal="left" vertical="top" wrapText="1"/>
    </xf>
    <xf numFmtId="0" fontId="34" fillId="32" borderId="34" xfId="3" applyFont="1" applyFill="1" applyBorder="1" applyAlignment="1">
      <alignment horizontal="center" vertical="top" wrapText="1"/>
    </xf>
    <xf numFmtId="0" fontId="34" fillId="32" borderId="35" xfId="3" applyFont="1" applyFill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top" wrapText="1"/>
    </xf>
    <xf numFmtId="0" fontId="33" fillId="0" borderId="13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top" wrapText="1"/>
    </xf>
    <xf numFmtId="0" fontId="34" fillId="33" borderId="28" xfId="3" applyFont="1" applyFill="1" applyBorder="1" applyAlignment="1">
      <alignment horizontal="center" vertical="center" wrapText="1"/>
    </xf>
    <xf numFmtId="0" fontId="34" fillId="33" borderId="29" xfId="3" applyFont="1" applyFill="1" applyBorder="1" applyAlignment="1">
      <alignment horizontal="center" vertical="center" wrapText="1"/>
    </xf>
    <xf numFmtId="0" fontId="34" fillId="33" borderId="11" xfId="3" applyFont="1" applyFill="1" applyBorder="1" applyAlignment="1">
      <alignment horizontal="left" vertical="top" wrapText="1"/>
    </xf>
    <xf numFmtId="0" fontId="34" fillId="33" borderId="11" xfId="3" applyFont="1" applyFill="1" applyBorder="1" applyAlignment="1">
      <alignment horizontal="center" vertical="top" wrapText="1"/>
    </xf>
    <xf numFmtId="0" fontId="34" fillId="33" borderId="8" xfId="3" applyFont="1" applyFill="1" applyBorder="1" applyAlignment="1">
      <alignment horizontal="left" vertical="top" wrapText="1"/>
    </xf>
    <xf numFmtId="0" fontId="34" fillId="33" borderId="8" xfId="3" applyFont="1" applyFill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center" wrapText="1"/>
    </xf>
    <xf numFmtId="0" fontId="34" fillId="33" borderId="3" xfId="3" applyFont="1" applyFill="1" applyAlignment="1">
      <alignment horizontal="left" vertical="top" wrapText="1"/>
    </xf>
    <xf numFmtId="0" fontId="34" fillId="33" borderId="34" xfId="3" applyFont="1" applyFill="1" applyBorder="1" applyAlignment="1">
      <alignment horizontal="center" vertical="top" wrapText="1"/>
    </xf>
    <xf numFmtId="0" fontId="34" fillId="33" borderId="35" xfId="3" applyFont="1" applyFill="1" applyBorder="1" applyAlignment="1">
      <alignment horizontal="center" vertical="top" wrapText="1"/>
    </xf>
    <xf numFmtId="0" fontId="33" fillId="0" borderId="38" xfId="0" applyFont="1" applyBorder="1" applyAlignment="1">
      <alignment horizontal="center" vertical="top" wrapText="1"/>
    </xf>
    <xf numFmtId="0" fontId="34" fillId="34" borderId="28" xfId="3" applyFont="1" applyFill="1" applyBorder="1" applyAlignment="1">
      <alignment horizontal="center" vertical="center" wrapText="1"/>
    </xf>
    <xf numFmtId="0" fontId="34" fillId="34" borderId="29" xfId="3" applyFont="1" applyFill="1" applyBorder="1" applyAlignment="1">
      <alignment horizontal="center" vertical="center" wrapText="1"/>
    </xf>
    <xf numFmtId="0" fontId="34" fillId="34" borderId="11" xfId="3" applyFont="1" applyFill="1" applyBorder="1" applyAlignment="1">
      <alignment horizontal="left" vertical="top" wrapText="1"/>
    </xf>
    <xf numFmtId="0" fontId="34" fillId="34" borderId="11" xfId="3" applyFont="1" applyFill="1" applyBorder="1" applyAlignment="1">
      <alignment horizontal="center" vertical="top" wrapText="1"/>
    </xf>
    <xf numFmtId="0" fontId="34" fillId="34" borderId="8" xfId="3" applyFont="1" applyFill="1" applyBorder="1" applyAlignment="1">
      <alignment horizontal="left" vertical="top" wrapText="1"/>
    </xf>
    <xf numFmtId="0" fontId="34" fillId="34" borderId="8" xfId="3" applyFont="1" applyFill="1" applyBorder="1" applyAlignment="1">
      <alignment horizontal="center" vertical="top" wrapText="1"/>
    </xf>
    <xf numFmtId="0" fontId="34" fillId="34" borderId="3" xfId="3" applyFont="1" applyFill="1" applyAlignment="1">
      <alignment horizontal="left" vertical="top" wrapText="1"/>
    </xf>
    <xf numFmtId="0" fontId="34" fillId="34" borderId="34" xfId="3" applyFont="1" applyFill="1" applyBorder="1" applyAlignment="1">
      <alignment horizontal="center" vertical="top" wrapText="1"/>
    </xf>
    <xf numFmtId="0" fontId="34" fillId="34" borderId="35" xfId="3" applyFont="1" applyFill="1" applyBorder="1" applyAlignment="1">
      <alignment horizontal="center" vertical="top" wrapText="1"/>
    </xf>
    <xf numFmtId="0" fontId="34" fillId="35" borderId="28" xfId="3" applyFont="1" applyFill="1" applyBorder="1" applyAlignment="1">
      <alignment horizontal="center" vertical="center" wrapText="1"/>
    </xf>
    <xf numFmtId="0" fontId="34" fillId="35" borderId="29" xfId="3" applyFont="1" applyFill="1" applyBorder="1" applyAlignment="1">
      <alignment horizontal="center" vertical="center" wrapText="1"/>
    </xf>
    <xf numFmtId="0" fontId="34" fillId="35" borderId="11" xfId="3" applyFont="1" applyFill="1" applyBorder="1" applyAlignment="1">
      <alignment horizontal="left" vertical="top" wrapText="1"/>
    </xf>
    <xf numFmtId="0" fontId="34" fillId="35" borderId="11" xfId="3" applyFont="1" applyFill="1" applyBorder="1" applyAlignment="1">
      <alignment horizontal="center" vertical="top" wrapText="1"/>
    </xf>
    <xf numFmtId="0" fontId="34" fillId="35" borderId="8" xfId="3" applyFont="1" applyFill="1" applyBorder="1" applyAlignment="1">
      <alignment horizontal="left" vertical="top" wrapText="1"/>
    </xf>
    <xf numFmtId="0" fontId="34" fillId="35" borderId="8" xfId="3" applyFont="1" applyFill="1" applyBorder="1" applyAlignment="1">
      <alignment horizontal="center" vertical="top" wrapText="1"/>
    </xf>
    <xf numFmtId="0" fontId="34" fillId="35" borderId="3" xfId="3" applyFont="1" applyFill="1" applyAlignment="1">
      <alignment horizontal="left" vertical="top" wrapText="1"/>
    </xf>
    <xf numFmtId="0" fontId="34" fillId="35" borderId="34" xfId="3" applyFont="1" applyFill="1" applyBorder="1" applyAlignment="1">
      <alignment horizontal="center" vertical="top" wrapText="1"/>
    </xf>
    <xf numFmtId="0" fontId="34" fillId="35" borderId="35" xfId="3" applyFont="1" applyFill="1" applyBorder="1" applyAlignment="1">
      <alignment horizontal="center" vertical="top" wrapText="1"/>
    </xf>
    <xf numFmtId="0" fontId="34" fillId="36" borderId="28" xfId="3" applyFont="1" applyFill="1" applyBorder="1" applyAlignment="1">
      <alignment horizontal="center" vertical="center" wrapText="1"/>
    </xf>
    <xf numFmtId="0" fontId="34" fillId="36" borderId="29" xfId="3" applyFont="1" applyFill="1" applyBorder="1" applyAlignment="1">
      <alignment horizontal="center" vertical="center" wrapText="1"/>
    </xf>
    <xf numFmtId="0" fontId="34" fillId="36" borderId="11" xfId="3" applyFont="1" applyFill="1" applyBorder="1" applyAlignment="1">
      <alignment horizontal="left" vertical="top" wrapText="1"/>
    </xf>
    <xf numFmtId="0" fontId="34" fillId="36" borderId="11" xfId="3" applyFont="1" applyFill="1" applyBorder="1" applyAlignment="1">
      <alignment horizontal="center" vertical="top" wrapText="1"/>
    </xf>
    <xf numFmtId="0" fontId="34" fillId="36" borderId="3" xfId="3" applyFont="1" applyFill="1" applyAlignment="1">
      <alignment horizontal="left" vertical="top" wrapText="1"/>
    </xf>
    <xf numFmtId="0" fontId="34" fillId="36" borderId="34" xfId="3" applyFont="1" applyFill="1" applyBorder="1" applyAlignment="1">
      <alignment horizontal="center" vertical="top" wrapText="1"/>
    </xf>
    <xf numFmtId="0" fontId="34" fillId="36" borderId="35" xfId="3" applyFont="1" applyFill="1" applyBorder="1" applyAlignment="1">
      <alignment horizontal="center" vertical="top" wrapText="1"/>
    </xf>
    <xf numFmtId="0" fontId="34" fillId="36" borderId="8" xfId="3" applyFont="1" applyFill="1" applyBorder="1" applyAlignment="1">
      <alignment horizontal="left" vertical="top" wrapText="1"/>
    </xf>
    <xf numFmtId="0" fontId="34" fillId="36" borderId="8" xfId="3" applyFont="1" applyFill="1" applyBorder="1" applyAlignment="1">
      <alignment horizontal="center" vertical="top" wrapText="1"/>
    </xf>
    <xf numFmtId="0" fontId="65" fillId="0" borderId="0" xfId="0" applyFont="1" applyAlignment="1">
      <alignment horizontal="center"/>
    </xf>
    <xf numFmtId="0" fontId="0" fillId="0" borderId="0" xfId="0"/>
    <xf numFmtId="0" fontId="66" fillId="0" borderId="0" xfId="0" applyFont="1" applyAlignment="1">
      <alignment horizontal="center"/>
    </xf>
    <xf numFmtId="0" fontId="67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9" fillId="0" borderId="0" xfId="0" applyFont="1" applyAlignment="1">
      <alignment horizontal="center"/>
    </xf>
  </cellXfs>
  <cellStyles count="6">
    <cellStyle name="Comma" xfId="5" builtinId="3"/>
    <cellStyle name="Currency" xfId="1" builtinId="4"/>
    <cellStyle name="Explanatory Text" xfId="4" builtinId="53"/>
    <cellStyle name="Normal" xfId="0" builtinId="0"/>
    <cellStyle name="Output" xfId="3" builtinId="21"/>
    <cellStyle name="Percent" xfId="2" builtinId="5"/>
  </cellStyles>
  <dxfs count="1">
    <dxf>
      <font>
        <color rgb="FFFF0000"/>
      </font>
    </dxf>
  </dxfs>
  <tableStyles count="0" defaultTableStyle="TableStyleMedium2" defaultPivotStyle="PivotStyleLight16"/>
  <colors>
    <mruColors>
      <color rgb="FF81EFE5"/>
      <color rgb="FFDFD9F7"/>
      <color rgb="FFC8F8F3"/>
      <color rgb="FFAB9AEA"/>
      <color rgb="FF4B2AC6"/>
      <color rgb="FF19B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AC1/Shared%20Documents/Contracts%20&amp;%20MOUs/Awards,%20Contracts,%20&amp;%20Evaluation%20-%20Funding%20IN/DMHA%20Award%20Notices%20&amp;%20Contracts/DMHA%20BRAVE/Attachment%20B1-%20Grant%20Budget%20Propos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AC1/Shared%20Documents/Financials/3.%20DMHA%20Financials/Budgets%20and%20Revised%20Budgets/SFY23/OA/OA%2023%20Budget%20Ver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dget Summary"/>
      <sheetName val="Budget Template"/>
      <sheetName val="Grant Match"/>
    </sheetNames>
    <sheetDataSet>
      <sheetData sheetId="0"/>
      <sheetData sheetId="1">
        <row r="13">
          <cell r="C13">
            <v>798451.86250000005</v>
          </cell>
        </row>
        <row r="14">
          <cell r="C14">
            <v>494425.61250000005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dget Template YR 1"/>
      <sheetName val="Sheet1"/>
      <sheetName val="Budget Template YR 2"/>
      <sheetName val="Summary YR 1 &amp; YR 2"/>
      <sheetName val="Calculations"/>
      <sheetName val="Salary Distribution"/>
    </sheetNames>
    <sheetDataSet>
      <sheetData sheetId="0"/>
      <sheetData sheetId="1"/>
      <sheetData sheetId="2">
        <row r="4">
          <cell r="B4" t="str">
            <v>President &amp; CEO, MaryClare Clark, MSW</v>
          </cell>
        </row>
        <row r="5">
          <cell r="B5" t="str">
            <v>Prevention Specialist, Amanda Clemmer</v>
          </cell>
        </row>
        <row r="6">
          <cell r="B6" t="str">
            <v>Emily DelGrosso, N/A this grant</v>
          </cell>
        </row>
        <row r="7">
          <cell r="B7" t="str">
            <v>Prevention Specialist, Aisha Diss</v>
          </cell>
        </row>
        <row r="8">
          <cell r="B8" t="str">
            <v>Director of Programs, Monique Johnson</v>
          </cell>
        </row>
        <row r="9">
          <cell r="B9" t="str">
            <v>Director of Projects, Tanya McKinney</v>
          </cell>
        </row>
        <row r="10">
          <cell r="B10" t="str">
            <v>Population Specialist, Miss Doris Thomas</v>
          </cell>
        </row>
        <row r="11">
          <cell r="B11" t="str">
            <v>Finance Manager, Bill Rondeau</v>
          </cell>
        </row>
        <row r="12">
          <cell r="B12" t="str">
            <v>Training Coordinator, Jen Norris-Hale</v>
          </cell>
        </row>
      </sheetData>
      <sheetData sheetId="3"/>
      <sheetData sheetId="4"/>
      <sheetData sheetId="5">
        <row r="23">
          <cell r="P23">
            <v>1200.8</v>
          </cell>
        </row>
        <row r="24">
          <cell r="P24">
            <v>1888</v>
          </cell>
        </row>
        <row r="25">
          <cell r="P25">
            <v>960</v>
          </cell>
        </row>
        <row r="26">
          <cell r="P26">
            <v>2015.52</v>
          </cell>
        </row>
        <row r="27">
          <cell r="P27">
            <v>8070.88</v>
          </cell>
        </row>
        <row r="28">
          <cell r="P28">
            <v>1903.68</v>
          </cell>
        </row>
        <row r="29">
          <cell r="P29">
            <v>107.68</v>
          </cell>
        </row>
        <row r="30">
          <cell r="P30">
            <v>797.6</v>
          </cell>
        </row>
        <row r="31">
          <cell r="P31">
            <v>400</v>
          </cell>
        </row>
        <row r="32">
          <cell r="P32">
            <v>1142.72</v>
          </cell>
        </row>
        <row r="93">
          <cell r="O93">
            <v>0.33</v>
          </cell>
          <cell r="P93">
            <v>0.33</v>
          </cell>
          <cell r="Q93">
            <v>0.34</v>
          </cell>
        </row>
      </sheetData>
      <sheetData sheetId="6">
        <row r="4">
          <cell r="J4">
            <v>0.05</v>
          </cell>
          <cell r="K4">
            <v>0</v>
          </cell>
          <cell r="L4">
            <v>0</v>
          </cell>
          <cell r="T4">
            <v>92000</v>
          </cell>
        </row>
        <row r="5">
          <cell r="J5">
            <v>0.05</v>
          </cell>
          <cell r="K5">
            <v>0.1</v>
          </cell>
          <cell r="L5">
            <v>0.05</v>
          </cell>
          <cell r="T5">
            <v>40000</v>
          </cell>
        </row>
        <row r="6">
          <cell r="J6">
            <v>0.05</v>
          </cell>
          <cell r="K6">
            <v>0</v>
          </cell>
          <cell r="L6">
            <v>0</v>
          </cell>
          <cell r="T6">
            <v>37080</v>
          </cell>
        </row>
        <row r="7">
          <cell r="J7"/>
          <cell r="K7"/>
          <cell r="L7"/>
          <cell r="T7"/>
        </row>
        <row r="8">
          <cell r="J8">
            <v>0.05</v>
          </cell>
          <cell r="K8">
            <v>0</v>
          </cell>
          <cell r="L8">
            <v>0.05</v>
          </cell>
          <cell r="T8">
            <v>50000</v>
          </cell>
        </row>
        <row r="9">
          <cell r="J9">
            <v>0.1</v>
          </cell>
          <cell r="K9">
            <v>0.05</v>
          </cell>
          <cell r="L9">
            <v>0.05</v>
          </cell>
          <cell r="T9">
            <v>50000</v>
          </cell>
        </row>
        <row r="10">
          <cell r="J10">
            <v>0.5</v>
          </cell>
          <cell r="K10">
            <v>0</v>
          </cell>
          <cell r="L10">
            <v>0.5</v>
          </cell>
          <cell r="T10">
            <v>11700</v>
          </cell>
        </row>
        <row r="11">
          <cell r="J11">
            <v>0.2</v>
          </cell>
          <cell r="K11">
            <v>0</v>
          </cell>
          <cell r="L11">
            <v>0</v>
          </cell>
          <cell r="T11">
            <v>58240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4">
          <cell r="T14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ill Rondeau" id="{F1FDCB3A-DD29-4586-8547-B9802B8DB773}" userId="bill@dacac.org" providerId="PeoplePicker"/>
  <person displayName="Tanya McKinney" id="{1B6D5694-AFE3-480D-9126-B24B64C7F813}" userId="tanya@dacac.org" providerId="PeoplePicker"/>
  <person displayName="Monique Johnson" id="{4A3C9ACC-C2A1-4919-93AF-4BA907C51F09}" userId="Monique@dacac.org" providerId="PeoplePicker"/>
  <person displayName="MaryClare Clark" id="{7F851E18-3FFF-4A2A-972C-56E4409B074A}" userId="S::makers@dacac.org::b40332a3-0eea-4fb7-a74a-879b5dd4b70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2-08-12T07:51:43.57" personId="{7F851E18-3FFF-4A2A-972C-56E4409B074A}" id="{6CA43B12-8B94-4409-9AB9-94AC23493656}">
    <text>@Tanya McKinney @Monique Johnson Please review this budget and make sure I didn't forget anything we will need for these programs. We need to make sure we are spending as close to exactly as proposed,</text>
    <mentions>
      <mention mentionpersonId="{1B6D5694-AFE3-480D-9126-B24B64C7F813}" mentionId="{1F112E2A-130D-41D1-9273-3F2ED034B571}" startIndex="0" length="15"/>
      <mention mentionpersonId="{4A3C9ACC-C2A1-4919-93AF-4BA907C51F09}" mentionId="{6F34F0E1-C14E-4A7A-8552-683A25CE5796}" startIndex="16" length="16"/>
    </mentions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0" dT="2022-12-12T13:35:06.26" personId="{7F851E18-3FFF-4A2A-972C-56E4409B074A}" id="{5B338B96-AC36-4C27-A279-7D8C0F233F46}">
    <text>@Bill Rondeau If any of these charges could be applied to DMHA CP, for the extra Tech Grant, we should journal entry that portion to them.</text>
    <mentions>
      <mention mentionpersonId="{F1FDCB3A-DD29-4586-8547-B9802B8DB773}" mentionId="{2ABE7146-630F-40D0-BFF9-25A77AD8CA59}" startIndex="0" length="1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L108"/>
  <sheetViews>
    <sheetView zoomScale="115" zoomScaleNormal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4" sqref="C34"/>
    </sheetView>
  </sheetViews>
  <sheetFormatPr defaultColWidth="9.140625" defaultRowHeight="15" x14ac:dyDescent="0.25"/>
  <cols>
    <col min="1" max="1" width="25.7109375" style="370" customWidth="1"/>
    <col min="2" max="9" width="10.7109375" style="370" customWidth="1"/>
    <col min="10" max="12" width="8.7109375" style="370" customWidth="1"/>
    <col min="13" max="13" width="8.7109375" style="371" customWidth="1"/>
    <col min="14" max="15" width="8.7109375" style="370" customWidth="1"/>
    <col min="16" max="16" width="9.7109375" style="370" customWidth="1"/>
    <col min="17" max="18" width="10.7109375" style="370" hidden="1" customWidth="1"/>
    <col min="19" max="19" width="9.140625" style="370"/>
    <col min="20" max="142" width="8.7109375" customWidth="1"/>
    <col min="143" max="16384" width="9.140625" style="370"/>
  </cols>
  <sheetData>
    <row r="1" spans="1:18" s="504" customFormat="1" ht="18" x14ac:dyDescent="0.25">
      <c r="A1" s="594" t="s">
        <v>0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</row>
    <row r="2" spans="1:18" s="504" customFormat="1" ht="18.75" thickBot="1" x14ac:dyDescent="0.3">
      <c r="A2" s="594" t="s">
        <v>855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</row>
    <row r="3" spans="1:18" ht="41.25" thickBot="1" x14ac:dyDescent="0.3">
      <c r="A3" s="440"/>
      <c r="B3" s="372" t="s">
        <v>2</v>
      </c>
      <c r="C3" s="373" t="s">
        <v>3</v>
      </c>
      <c r="D3" s="374" t="s">
        <v>4</v>
      </c>
      <c r="E3" s="375" t="s">
        <v>5</v>
      </c>
      <c r="F3" s="376" t="s">
        <v>745</v>
      </c>
      <c r="G3" s="376" t="s">
        <v>6</v>
      </c>
      <c r="H3" s="377" t="s">
        <v>7</v>
      </c>
      <c r="I3" s="378" t="s">
        <v>8</v>
      </c>
      <c r="J3" s="379" t="s">
        <v>9</v>
      </c>
      <c r="K3" s="380" t="s">
        <v>10</v>
      </c>
      <c r="L3" s="381" t="s">
        <v>11</v>
      </c>
      <c r="M3" s="382" t="s">
        <v>12</v>
      </c>
      <c r="N3" s="383" t="s">
        <v>856</v>
      </c>
      <c r="O3" s="384" t="s">
        <v>857</v>
      </c>
      <c r="P3" s="385" t="s">
        <v>863</v>
      </c>
      <c r="Q3" s="385" t="s">
        <v>861</v>
      </c>
      <c r="R3" s="385" t="s">
        <v>858</v>
      </c>
    </row>
    <row r="4" spans="1:18" ht="27" x14ac:dyDescent="0.25">
      <c r="A4" s="441"/>
      <c r="B4" s="386" t="s">
        <v>17</v>
      </c>
      <c r="C4" s="386" t="s">
        <v>17</v>
      </c>
      <c r="D4" s="386" t="s">
        <v>17</v>
      </c>
      <c r="E4" s="386" t="s">
        <v>17</v>
      </c>
      <c r="F4" s="386" t="s">
        <v>17</v>
      </c>
      <c r="G4" s="386" t="s">
        <v>17</v>
      </c>
      <c r="H4" s="386" t="s">
        <v>17</v>
      </c>
      <c r="I4" s="386" t="s">
        <v>17</v>
      </c>
      <c r="J4" s="386" t="s">
        <v>17</v>
      </c>
      <c r="K4" s="386" t="s">
        <v>17</v>
      </c>
      <c r="L4" s="386" t="s">
        <v>17</v>
      </c>
      <c r="M4" s="386" t="s">
        <v>17</v>
      </c>
      <c r="N4" s="386" t="s">
        <v>17</v>
      </c>
      <c r="O4" s="386" t="s">
        <v>17</v>
      </c>
      <c r="P4" s="386" t="s">
        <v>17</v>
      </c>
      <c r="Q4" s="386"/>
      <c r="R4" s="442"/>
    </row>
    <row r="5" spans="1:18" x14ac:dyDescent="0.25">
      <c r="A5" s="443" t="s">
        <v>18</v>
      </c>
      <c r="B5" s="387"/>
      <c r="C5" s="387"/>
      <c r="D5" s="387"/>
      <c r="E5" s="387"/>
      <c r="F5" s="387"/>
      <c r="G5" s="387">
        <f>BRAVE!C7</f>
        <v>0</v>
      </c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444"/>
    </row>
    <row r="6" spans="1:18" x14ac:dyDescent="0.25">
      <c r="A6" s="445" t="s">
        <v>760</v>
      </c>
      <c r="B6" s="388">
        <f>'Admin Gen'!B8</f>
        <v>0</v>
      </c>
      <c r="C6" s="388">
        <v>0</v>
      </c>
      <c r="D6" s="388">
        <v>0</v>
      </c>
      <c r="E6" s="388">
        <v>0</v>
      </c>
      <c r="F6" s="389">
        <f>BRAVE!B8</f>
        <v>0</v>
      </c>
      <c r="G6" s="389">
        <f>BRAVE!C8</f>
        <v>178800</v>
      </c>
      <c r="H6" s="389">
        <f>CP!I76</f>
        <v>200000</v>
      </c>
      <c r="I6" s="389">
        <f>OA!J16</f>
        <v>124999.99699999999</v>
      </c>
      <c r="J6" s="388">
        <v>0</v>
      </c>
      <c r="K6" s="388">
        <v>0</v>
      </c>
      <c r="L6" s="388">
        <v>0</v>
      </c>
      <c r="M6" s="388">
        <v>0</v>
      </c>
      <c r="N6" s="388">
        <v>0</v>
      </c>
      <c r="O6" s="388">
        <v>0</v>
      </c>
      <c r="P6" s="389">
        <f>SUM(B6:O6)</f>
        <v>503799.99699999997</v>
      </c>
      <c r="Q6" s="389">
        <v>264500</v>
      </c>
      <c r="R6" s="446">
        <v>325000</v>
      </c>
    </row>
    <row r="7" spans="1:18" x14ac:dyDescent="0.25">
      <c r="A7" s="445" t="s">
        <v>761</v>
      </c>
      <c r="B7" s="388">
        <f>'Admin Gen'!B9</f>
        <v>0</v>
      </c>
      <c r="C7" s="388">
        <v>0</v>
      </c>
      <c r="D7" s="388">
        <v>0</v>
      </c>
      <c r="E7" s="388">
        <v>0</v>
      </c>
      <c r="F7" s="390">
        <f>BRAVE!B10</f>
        <v>15000</v>
      </c>
      <c r="G7" s="390">
        <f>BRAVE!C10</f>
        <v>0</v>
      </c>
      <c r="H7" s="388">
        <v>0</v>
      </c>
      <c r="I7" s="388">
        <v>0</v>
      </c>
      <c r="J7" s="388">
        <v>0</v>
      </c>
      <c r="K7" s="388">
        <v>0</v>
      </c>
      <c r="L7" s="388">
        <v>0</v>
      </c>
      <c r="M7" s="388">
        <v>0</v>
      </c>
      <c r="N7" s="388">
        <v>0</v>
      </c>
      <c r="O7" s="388">
        <v>0</v>
      </c>
      <c r="P7" s="389">
        <f>SUM(B7:O7)</f>
        <v>15000</v>
      </c>
      <c r="Q7" s="389">
        <v>0</v>
      </c>
      <c r="R7" s="446">
        <v>0</v>
      </c>
    </row>
    <row r="8" spans="1:18" x14ac:dyDescent="0.25">
      <c r="A8" s="445" t="s">
        <v>796</v>
      </c>
      <c r="B8" s="388">
        <f>'Admin Gen'!B10</f>
        <v>0</v>
      </c>
      <c r="C8" s="388">
        <f>'BSF Award'!E35</f>
        <v>233000</v>
      </c>
      <c r="D8" s="388">
        <v>0</v>
      </c>
      <c r="E8" s="388">
        <v>0</v>
      </c>
      <c r="F8" s="390">
        <f>BRAVE!B11</f>
        <v>0</v>
      </c>
      <c r="G8" s="390">
        <f>BRAVE!C11</f>
        <v>0</v>
      </c>
      <c r="H8" s="388">
        <v>0</v>
      </c>
      <c r="I8" s="388">
        <v>0</v>
      </c>
      <c r="J8" s="388">
        <v>0</v>
      </c>
      <c r="K8" s="388">
        <v>0</v>
      </c>
      <c r="L8" s="388">
        <v>0</v>
      </c>
      <c r="M8" s="388">
        <v>0</v>
      </c>
      <c r="N8" s="388">
        <v>0</v>
      </c>
      <c r="O8" s="388">
        <v>0</v>
      </c>
      <c r="P8" s="389"/>
      <c r="Q8" s="389">
        <v>285950</v>
      </c>
      <c r="R8" s="446">
        <v>226914</v>
      </c>
    </row>
    <row r="9" spans="1:18" x14ac:dyDescent="0.25">
      <c r="A9" s="445" t="s">
        <v>797</v>
      </c>
      <c r="B9" s="388">
        <f>'Admin Gen'!B11</f>
        <v>0</v>
      </c>
      <c r="C9" s="388">
        <v>38400</v>
      </c>
      <c r="D9" s="388">
        <v>0</v>
      </c>
      <c r="E9" s="388">
        <v>0</v>
      </c>
      <c r="F9" s="390">
        <f>BRAVE!B12</f>
        <v>0</v>
      </c>
      <c r="G9" s="390">
        <f>BRAVE!C12</f>
        <v>0</v>
      </c>
      <c r="H9" s="388">
        <v>0</v>
      </c>
      <c r="I9" s="388">
        <v>0</v>
      </c>
      <c r="J9" s="388">
        <v>0</v>
      </c>
      <c r="K9" s="388">
        <v>0</v>
      </c>
      <c r="L9" s="388">
        <v>0</v>
      </c>
      <c r="M9" s="388">
        <v>0</v>
      </c>
      <c r="N9" s="388">
        <v>0</v>
      </c>
      <c r="O9" s="388">
        <v>0</v>
      </c>
      <c r="P9" s="389"/>
      <c r="Q9" s="389">
        <v>22500</v>
      </c>
      <c r="R9" s="446">
        <v>0</v>
      </c>
    </row>
    <row r="10" spans="1:18" x14ac:dyDescent="0.25">
      <c r="A10" s="445" t="s">
        <v>762</v>
      </c>
      <c r="B10" s="388">
        <f>'Admin Gen'!B12</f>
        <v>0</v>
      </c>
      <c r="C10" s="391">
        <f>SUM(C7:C9)</f>
        <v>271400</v>
      </c>
      <c r="D10" s="391">
        <f>SUM(D7:D9)</f>
        <v>0</v>
      </c>
      <c r="E10" s="391">
        <f>SUM(E7:E9)</f>
        <v>0</v>
      </c>
      <c r="F10" s="390">
        <f>BRAVE!B13</f>
        <v>0</v>
      </c>
      <c r="G10" s="391">
        <f>BRAVE!C13</f>
        <v>0</v>
      </c>
      <c r="H10" s="391">
        <f t="shared" ref="H10:O10" si="0">SUM(H7:H9)</f>
        <v>0</v>
      </c>
      <c r="I10" s="391">
        <f t="shared" si="0"/>
        <v>0</v>
      </c>
      <c r="J10" s="391">
        <f t="shared" si="0"/>
        <v>0</v>
      </c>
      <c r="K10" s="391">
        <f t="shared" si="0"/>
        <v>0</v>
      </c>
      <c r="L10" s="391">
        <f t="shared" si="0"/>
        <v>0</v>
      </c>
      <c r="M10" s="391">
        <f t="shared" si="0"/>
        <v>0</v>
      </c>
      <c r="N10" s="391">
        <f t="shared" si="0"/>
        <v>0</v>
      </c>
      <c r="O10" s="391">
        <f t="shared" si="0"/>
        <v>0</v>
      </c>
      <c r="P10" s="391">
        <f t="shared" ref="P10:P26" si="1">SUM(B10:O10)</f>
        <v>271400</v>
      </c>
      <c r="Q10" s="391">
        <v>308450</v>
      </c>
      <c r="R10" s="447">
        <v>226914</v>
      </c>
    </row>
    <row r="11" spans="1:18" x14ac:dyDescent="0.25">
      <c r="A11" s="445" t="s">
        <v>763</v>
      </c>
      <c r="B11" s="388">
        <f>'Admin Gen'!B13</f>
        <v>0</v>
      </c>
      <c r="C11" s="388">
        <v>0</v>
      </c>
      <c r="D11" s="391">
        <v>92292.85</v>
      </c>
      <c r="E11" s="388">
        <v>0</v>
      </c>
      <c r="F11" s="390">
        <f>BRAVE!B14</f>
        <v>0</v>
      </c>
      <c r="G11" s="391">
        <f>BRAVE!C14</f>
        <v>0</v>
      </c>
      <c r="H11" s="388">
        <v>0</v>
      </c>
      <c r="I11" s="388">
        <v>0</v>
      </c>
      <c r="J11" s="388">
        <v>0</v>
      </c>
      <c r="K11" s="388">
        <v>0</v>
      </c>
      <c r="L11" s="388">
        <v>0</v>
      </c>
      <c r="M11" s="388">
        <v>0</v>
      </c>
      <c r="N11" s="388">
        <v>0</v>
      </c>
      <c r="O11" s="388">
        <v>0</v>
      </c>
      <c r="P11" s="391">
        <f t="shared" si="1"/>
        <v>92292.85</v>
      </c>
      <c r="Q11" s="391">
        <v>103540.41</v>
      </c>
      <c r="R11" s="447">
        <v>125000</v>
      </c>
    </row>
    <row r="12" spans="1:18" x14ac:dyDescent="0.25">
      <c r="A12" s="445" t="s">
        <v>764</v>
      </c>
      <c r="B12" s="388">
        <f>'Admin Gen'!B15</f>
        <v>28000</v>
      </c>
      <c r="C12" s="388">
        <v>0</v>
      </c>
      <c r="D12" s="388">
        <v>0</v>
      </c>
      <c r="E12" s="391">
        <f>28000*3</f>
        <v>84000</v>
      </c>
      <c r="F12" s="390">
        <f>BRAVE!B15</f>
        <v>0</v>
      </c>
      <c r="G12" s="391">
        <f>BRAVE!C15</f>
        <v>0</v>
      </c>
      <c r="H12" s="388">
        <v>0</v>
      </c>
      <c r="I12" s="388">
        <v>0</v>
      </c>
      <c r="J12" s="388">
        <v>0</v>
      </c>
      <c r="K12" s="388">
        <v>0</v>
      </c>
      <c r="L12" s="388">
        <v>0</v>
      </c>
      <c r="M12" s="388">
        <v>0</v>
      </c>
      <c r="N12" s="388">
        <v>0</v>
      </c>
      <c r="O12" s="388">
        <v>0</v>
      </c>
      <c r="P12" s="391">
        <f t="shared" si="1"/>
        <v>112000</v>
      </c>
      <c r="Q12" s="391">
        <v>134547.68</v>
      </c>
      <c r="R12" s="447">
        <v>30000</v>
      </c>
    </row>
    <row r="13" spans="1:18" x14ac:dyDescent="0.25">
      <c r="A13" s="445" t="s">
        <v>765</v>
      </c>
      <c r="B13" s="388">
        <f>'Admin Gen'!B16</f>
        <v>0</v>
      </c>
      <c r="C13" s="391">
        <v>0</v>
      </c>
      <c r="D13" s="391">
        <v>0</v>
      </c>
      <c r="E13" s="391">
        <v>0</v>
      </c>
      <c r="F13" s="390">
        <f>BRAVE!B16</f>
        <v>0</v>
      </c>
      <c r="G13" s="391">
        <f>BRAVE!C16</f>
        <v>0</v>
      </c>
      <c r="H13" s="391">
        <v>0</v>
      </c>
      <c r="I13" s="391">
        <v>0</v>
      </c>
      <c r="J13" s="391">
        <f>HWC!E18</f>
        <v>130699.91</v>
      </c>
      <c r="K13" s="391">
        <f>INCARES!E16</f>
        <v>69300</v>
      </c>
      <c r="L13" s="391">
        <f>MM!E23</f>
        <v>81981</v>
      </c>
      <c r="M13" s="391">
        <f>SSNEI!E20</f>
        <v>40000</v>
      </c>
      <c r="N13" s="391">
        <v>0</v>
      </c>
      <c r="O13" s="391">
        <v>0</v>
      </c>
      <c r="P13" s="391">
        <f t="shared" si="1"/>
        <v>321980.91000000003</v>
      </c>
      <c r="Q13" s="391">
        <v>174886.91</v>
      </c>
      <c r="R13" s="447">
        <v>179388.63</v>
      </c>
    </row>
    <row r="14" spans="1:18" x14ac:dyDescent="0.25">
      <c r="A14" s="445" t="s">
        <v>766</v>
      </c>
      <c r="B14" s="388">
        <f>'Admin Gen'!B17</f>
        <v>0</v>
      </c>
      <c r="C14" s="388">
        <v>0</v>
      </c>
      <c r="D14" s="388">
        <v>0</v>
      </c>
      <c r="E14" s="388">
        <v>0</v>
      </c>
      <c r="F14" s="390">
        <f>BRAVE!B17</f>
        <v>0</v>
      </c>
      <c r="G14" s="390">
        <f>BRAVE!C17</f>
        <v>0</v>
      </c>
      <c r="H14" s="388">
        <v>0</v>
      </c>
      <c r="I14" s="388">
        <v>0</v>
      </c>
      <c r="J14" s="388">
        <v>0</v>
      </c>
      <c r="K14" s="388">
        <v>0</v>
      </c>
      <c r="L14" s="388">
        <v>0</v>
      </c>
      <c r="M14" s="388">
        <v>0</v>
      </c>
      <c r="N14" s="390">
        <v>5000</v>
      </c>
      <c r="O14" s="388">
        <v>0</v>
      </c>
      <c r="P14" s="389">
        <f t="shared" si="1"/>
        <v>5000</v>
      </c>
      <c r="Q14" s="389">
        <v>3786.01</v>
      </c>
      <c r="R14" s="446">
        <v>0</v>
      </c>
    </row>
    <row r="15" spans="1:18" ht="27" x14ac:dyDescent="0.25">
      <c r="A15" s="445" t="s">
        <v>767</v>
      </c>
      <c r="B15" s="388">
        <f>'Admin Gen'!B18</f>
        <v>61532.69</v>
      </c>
      <c r="C15" s="388">
        <v>0</v>
      </c>
      <c r="D15" s="388">
        <v>0</v>
      </c>
      <c r="E15" s="388">
        <v>0</v>
      </c>
      <c r="F15" s="390">
        <f>BRAVE!B18</f>
        <v>0</v>
      </c>
      <c r="G15" s="390">
        <f>BRAVE!C18</f>
        <v>0</v>
      </c>
      <c r="H15" s="388">
        <v>0</v>
      </c>
      <c r="I15" s="388">
        <v>0</v>
      </c>
      <c r="J15" s="388">
        <v>0</v>
      </c>
      <c r="K15" s="388">
        <v>0</v>
      </c>
      <c r="L15" s="388">
        <v>0</v>
      </c>
      <c r="M15" s="388">
        <v>0</v>
      </c>
      <c r="N15" s="388">
        <v>0</v>
      </c>
      <c r="O15" s="388">
        <v>0</v>
      </c>
      <c r="P15" s="389">
        <f t="shared" si="1"/>
        <v>61532.69</v>
      </c>
      <c r="Q15" s="389">
        <v>42739</v>
      </c>
      <c r="R15" s="446">
        <v>23200.5</v>
      </c>
    </row>
    <row r="16" spans="1:18" x14ac:dyDescent="0.25">
      <c r="A16" s="445" t="s">
        <v>768</v>
      </c>
      <c r="B16" s="388">
        <f>0</f>
        <v>0</v>
      </c>
      <c r="C16" s="388">
        <v>0</v>
      </c>
      <c r="D16" s="388">
        <v>0</v>
      </c>
      <c r="E16" s="388">
        <v>0</v>
      </c>
      <c r="F16" s="390">
        <f>BRAVE!B20</f>
        <v>5000</v>
      </c>
      <c r="G16" s="390">
        <f>BRAVE!C20</f>
        <v>0</v>
      </c>
      <c r="H16" s="388">
        <v>0</v>
      </c>
      <c r="I16" s="388">
        <v>0</v>
      </c>
      <c r="J16" s="388">
        <v>0</v>
      </c>
      <c r="K16" s="388">
        <v>0</v>
      </c>
      <c r="L16" s="388">
        <v>0</v>
      </c>
      <c r="M16" s="388">
        <v>0</v>
      </c>
      <c r="N16" s="388">
        <v>0</v>
      </c>
      <c r="O16" s="388">
        <v>0</v>
      </c>
      <c r="P16" s="391">
        <f t="shared" si="1"/>
        <v>5000</v>
      </c>
      <c r="Q16" s="391">
        <v>3093.7200000000003</v>
      </c>
      <c r="R16" s="447">
        <v>0</v>
      </c>
    </row>
    <row r="17" spans="1:18" x14ac:dyDescent="0.25">
      <c r="A17" s="445" t="s">
        <v>798</v>
      </c>
      <c r="B17" s="388">
        <f>'Admin Gen'!B20</f>
        <v>0</v>
      </c>
      <c r="C17" s="388">
        <v>0</v>
      </c>
      <c r="D17" s="388">
        <v>0</v>
      </c>
      <c r="E17" s="388">
        <v>0</v>
      </c>
      <c r="F17" s="390">
        <f>BRAVE!B21</f>
        <v>20000</v>
      </c>
      <c r="G17" s="390">
        <f>BRAVE!C21</f>
        <v>0</v>
      </c>
      <c r="H17" s="388">
        <v>0</v>
      </c>
      <c r="I17" s="388">
        <v>0</v>
      </c>
      <c r="J17" s="388">
        <v>0</v>
      </c>
      <c r="K17" s="388">
        <v>0</v>
      </c>
      <c r="L17" s="388">
        <v>0</v>
      </c>
      <c r="M17" s="388">
        <v>0</v>
      </c>
      <c r="N17" s="388">
        <v>0</v>
      </c>
      <c r="O17" s="388">
        <v>0</v>
      </c>
      <c r="P17" s="389">
        <f t="shared" si="1"/>
        <v>20000</v>
      </c>
      <c r="Q17" s="389">
        <v>97.7</v>
      </c>
      <c r="R17" s="446">
        <v>0</v>
      </c>
    </row>
    <row r="18" spans="1:18" x14ac:dyDescent="0.25">
      <c r="A18" s="445" t="s">
        <v>769</v>
      </c>
      <c r="B18" s="388">
        <f>'Admin Gen'!B22-844</f>
        <v>656</v>
      </c>
      <c r="C18" s="391">
        <f>(C16)+(C17)</f>
        <v>0</v>
      </c>
      <c r="D18" s="391">
        <f>(D16)+(D17)</f>
        <v>0</v>
      </c>
      <c r="E18" s="391">
        <f>(E16)+(E17)</f>
        <v>0</v>
      </c>
      <c r="F18" s="390">
        <f>BRAVE!B22</f>
        <v>0</v>
      </c>
      <c r="G18" s="391">
        <f>BRAVE!C22</f>
        <v>0</v>
      </c>
      <c r="H18" s="391">
        <f t="shared" ref="H18:O18" si="2">(H16)+(H17)</f>
        <v>0</v>
      </c>
      <c r="I18" s="391">
        <f t="shared" si="2"/>
        <v>0</v>
      </c>
      <c r="J18" s="391">
        <f t="shared" si="2"/>
        <v>0</v>
      </c>
      <c r="K18" s="391">
        <f t="shared" si="2"/>
        <v>0</v>
      </c>
      <c r="L18" s="391">
        <f t="shared" si="2"/>
        <v>0</v>
      </c>
      <c r="M18" s="391">
        <f t="shared" si="2"/>
        <v>0</v>
      </c>
      <c r="N18" s="391">
        <f t="shared" si="2"/>
        <v>0</v>
      </c>
      <c r="O18" s="391">
        <f t="shared" si="2"/>
        <v>0</v>
      </c>
      <c r="P18" s="391">
        <f t="shared" si="1"/>
        <v>656</v>
      </c>
      <c r="Q18" s="391">
        <v>3191.42</v>
      </c>
      <c r="R18" s="447">
        <v>0</v>
      </c>
    </row>
    <row r="19" spans="1:18" x14ac:dyDescent="0.25">
      <c r="A19" s="445" t="s">
        <v>770</v>
      </c>
      <c r="B19" s="388">
        <f>'Admin Gen'!B24</f>
        <v>0</v>
      </c>
      <c r="C19" s="388">
        <v>0</v>
      </c>
      <c r="D19" s="388">
        <v>0</v>
      </c>
      <c r="E19" s="388">
        <v>0</v>
      </c>
      <c r="F19" s="390">
        <f>BRAVE!B24</f>
        <v>0</v>
      </c>
      <c r="G19" s="390">
        <f>BRAVE!C24</f>
        <v>0</v>
      </c>
      <c r="H19" s="388">
        <v>0</v>
      </c>
      <c r="I19" s="388">
        <v>0</v>
      </c>
      <c r="J19" s="388">
        <v>0</v>
      </c>
      <c r="K19" s="388">
        <v>0</v>
      </c>
      <c r="L19" s="388">
        <v>0</v>
      </c>
      <c r="M19" s="388">
        <v>0</v>
      </c>
      <c r="N19" s="388">
        <v>0</v>
      </c>
      <c r="O19" s="388">
        <v>0</v>
      </c>
      <c r="P19" s="389">
        <f t="shared" si="1"/>
        <v>0</v>
      </c>
      <c r="Q19" s="389">
        <v>0.11</v>
      </c>
      <c r="R19" s="446">
        <v>0</v>
      </c>
    </row>
    <row r="20" spans="1:18" x14ac:dyDescent="0.25">
      <c r="A20" s="445" t="s">
        <v>771</v>
      </c>
      <c r="B20" s="388">
        <v>0</v>
      </c>
      <c r="C20" s="388">
        <v>0</v>
      </c>
      <c r="D20" s="388">
        <v>0</v>
      </c>
      <c r="E20" s="388">
        <v>0</v>
      </c>
      <c r="F20" s="390">
        <f>BRAVE!B25</f>
        <v>7500</v>
      </c>
      <c r="G20" s="390">
        <f>BRAVE!C25</f>
        <v>0</v>
      </c>
      <c r="H20" s="388">
        <v>0</v>
      </c>
      <c r="I20" s="388">
        <v>0</v>
      </c>
      <c r="J20" s="388">
        <v>0</v>
      </c>
      <c r="K20" s="388">
        <v>0</v>
      </c>
      <c r="L20" s="388">
        <v>0</v>
      </c>
      <c r="M20" s="388">
        <v>0</v>
      </c>
      <c r="N20" s="388">
        <v>0</v>
      </c>
      <c r="O20" s="388">
        <v>0</v>
      </c>
      <c r="P20" s="391">
        <f t="shared" si="1"/>
        <v>7500</v>
      </c>
      <c r="Q20" s="391">
        <v>19290.080000000002</v>
      </c>
      <c r="R20" s="447">
        <v>0</v>
      </c>
    </row>
    <row r="21" spans="1:18" x14ac:dyDescent="0.25">
      <c r="A21" s="445" t="s">
        <v>772</v>
      </c>
      <c r="B21" s="388">
        <f>'Admin Gen'!B19</f>
        <v>2500</v>
      </c>
      <c r="C21" s="388">
        <v>0</v>
      </c>
      <c r="D21" s="388">
        <v>0</v>
      </c>
      <c r="E21" s="388">
        <v>0</v>
      </c>
      <c r="F21" s="390">
        <f>BRAVE!B26</f>
        <v>0</v>
      </c>
      <c r="G21" s="389">
        <f>BRAVE!C26</f>
        <v>0</v>
      </c>
      <c r="H21" s="389">
        <v>12000</v>
      </c>
      <c r="I21" s="388">
        <v>0</v>
      </c>
      <c r="J21" s="388">
        <v>0</v>
      </c>
      <c r="K21" s="388">
        <v>0</v>
      </c>
      <c r="L21" s="388">
        <v>0</v>
      </c>
      <c r="M21" s="388">
        <v>0</v>
      </c>
      <c r="N21" s="388">
        <v>0</v>
      </c>
      <c r="O21" s="388">
        <v>0</v>
      </c>
      <c r="P21" s="389">
        <f t="shared" si="1"/>
        <v>14500</v>
      </c>
      <c r="Q21" s="389">
        <v>0</v>
      </c>
      <c r="R21" s="446">
        <v>115750</v>
      </c>
    </row>
    <row r="22" spans="1:18" x14ac:dyDescent="0.25">
      <c r="A22" s="445" t="s">
        <v>799</v>
      </c>
      <c r="B22" s="388">
        <f>'Admin Gen'!B23</f>
        <v>0</v>
      </c>
      <c r="C22" s="388">
        <v>0</v>
      </c>
      <c r="D22" s="388">
        <v>0</v>
      </c>
      <c r="E22" s="388">
        <v>0</v>
      </c>
      <c r="F22" s="390">
        <f>BRAVE!B26</f>
        <v>0</v>
      </c>
      <c r="G22" s="390">
        <f>BRAVE!C26</f>
        <v>0</v>
      </c>
      <c r="H22" s="390"/>
      <c r="I22" s="388">
        <v>0</v>
      </c>
      <c r="J22" s="388">
        <v>0</v>
      </c>
      <c r="K22" s="388">
        <v>0</v>
      </c>
      <c r="L22" s="388">
        <v>0</v>
      </c>
      <c r="M22" s="388">
        <v>0</v>
      </c>
      <c r="N22" s="388">
        <v>0</v>
      </c>
      <c r="O22" s="388">
        <v>0</v>
      </c>
      <c r="P22" s="389">
        <f t="shared" si="1"/>
        <v>0</v>
      </c>
      <c r="Q22" s="389">
        <v>-11771</v>
      </c>
      <c r="R22" s="446">
        <v>0</v>
      </c>
    </row>
    <row r="23" spans="1:18" x14ac:dyDescent="0.25">
      <c r="A23" s="445" t="s">
        <v>773</v>
      </c>
      <c r="B23" s="388">
        <f>'Admin Gen'!B25</f>
        <v>0</v>
      </c>
      <c r="C23" s="388">
        <v>0</v>
      </c>
      <c r="D23" s="388">
        <v>0</v>
      </c>
      <c r="E23" s="388">
        <v>0</v>
      </c>
      <c r="F23" s="388">
        <v>0</v>
      </c>
      <c r="G23" s="388">
        <v>0</v>
      </c>
      <c r="H23" s="388">
        <v>0</v>
      </c>
      <c r="I23" s="388">
        <v>0</v>
      </c>
      <c r="J23" s="388">
        <v>0</v>
      </c>
      <c r="K23" s="388">
        <v>0</v>
      </c>
      <c r="L23" s="388">
        <v>0</v>
      </c>
      <c r="M23" s="388">
        <v>0</v>
      </c>
      <c r="N23" s="388">
        <v>0</v>
      </c>
      <c r="O23" s="388">
        <v>0</v>
      </c>
      <c r="P23" s="389">
        <f t="shared" si="1"/>
        <v>0</v>
      </c>
      <c r="Q23" s="389">
        <v>7519.08</v>
      </c>
      <c r="R23" s="446">
        <v>115750</v>
      </c>
    </row>
    <row r="24" spans="1:18" x14ac:dyDescent="0.25">
      <c r="A24" s="445" t="s">
        <v>774</v>
      </c>
      <c r="B24" s="388">
        <f>'Admin Gen'!B26</f>
        <v>0</v>
      </c>
      <c r="C24" s="388">
        <v>0</v>
      </c>
      <c r="D24" s="388">
        <v>0</v>
      </c>
      <c r="E24" s="388">
        <v>0</v>
      </c>
      <c r="F24" s="388">
        <v>0</v>
      </c>
      <c r="G24" s="388">
        <v>0</v>
      </c>
      <c r="H24" s="388">
        <v>0</v>
      </c>
      <c r="I24" s="388">
        <v>0</v>
      </c>
      <c r="J24" s="388">
        <v>0</v>
      </c>
      <c r="K24" s="388">
        <v>0</v>
      </c>
      <c r="L24" s="388">
        <v>0</v>
      </c>
      <c r="M24" s="388">
        <v>0</v>
      </c>
      <c r="N24" s="388">
        <v>0</v>
      </c>
      <c r="O24" s="388">
        <v>0</v>
      </c>
      <c r="P24" s="389">
        <f t="shared" si="1"/>
        <v>0</v>
      </c>
      <c r="Q24" s="389">
        <v>88.08</v>
      </c>
      <c r="R24" s="446">
        <v>0</v>
      </c>
    </row>
    <row r="25" spans="1:18" ht="14.25" customHeight="1" x14ac:dyDescent="0.25">
      <c r="A25" s="445" t="s">
        <v>775</v>
      </c>
      <c r="B25" s="388">
        <f>'Admin Gen'!B28</f>
        <v>0</v>
      </c>
      <c r="C25" s="388">
        <v>0</v>
      </c>
      <c r="D25" s="388">
        <v>0</v>
      </c>
      <c r="E25" s="388">
        <v>0</v>
      </c>
      <c r="F25" s="388">
        <v>0</v>
      </c>
      <c r="G25" s="388">
        <v>0</v>
      </c>
      <c r="H25" s="388">
        <v>0</v>
      </c>
      <c r="I25" s="388">
        <v>0</v>
      </c>
      <c r="J25" s="388">
        <v>0</v>
      </c>
      <c r="K25" s="388">
        <v>0</v>
      </c>
      <c r="L25" s="388">
        <v>0</v>
      </c>
      <c r="M25" s="388">
        <v>0</v>
      </c>
      <c r="N25" s="388">
        <v>0</v>
      </c>
      <c r="O25" s="388">
        <v>0</v>
      </c>
      <c r="P25" s="389">
        <f t="shared" si="1"/>
        <v>0</v>
      </c>
      <c r="Q25" s="389">
        <v>0</v>
      </c>
      <c r="R25" s="446">
        <v>0</v>
      </c>
    </row>
    <row r="26" spans="1:18" x14ac:dyDescent="0.25">
      <c r="A26" s="448" t="s">
        <v>38</v>
      </c>
      <c r="B26" s="392">
        <f>SUM(B6:B25)</f>
        <v>92688.69</v>
      </c>
      <c r="C26" s="392">
        <f>SUM(C6:C25)-C8-C9</f>
        <v>271400</v>
      </c>
      <c r="D26" s="392">
        <f t="shared" ref="D26:O26" si="3">SUM(D6:D25)</f>
        <v>92292.85</v>
      </c>
      <c r="E26" s="392">
        <f t="shared" si="3"/>
        <v>84000</v>
      </c>
      <c r="F26" s="392">
        <f t="shared" si="3"/>
        <v>47500</v>
      </c>
      <c r="G26" s="392">
        <f t="shared" si="3"/>
        <v>178800</v>
      </c>
      <c r="H26" s="392">
        <f t="shared" si="3"/>
        <v>212000</v>
      </c>
      <c r="I26" s="392">
        <f t="shared" si="3"/>
        <v>124999.99699999999</v>
      </c>
      <c r="J26" s="392">
        <f t="shared" si="3"/>
        <v>130699.91</v>
      </c>
      <c r="K26" s="392">
        <f t="shared" si="3"/>
        <v>69300</v>
      </c>
      <c r="L26" s="392">
        <f t="shared" si="3"/>
        <v>81981</v>
      </c>
      <c r="M26" s="392">
        <f t="shared" si="3"/>
        <v>40000</v>
      </c>
      <c r="N26" s="392">
        <f t="shared" si="3"/>
        <v>5000</v>
      </c>
      <c r="O26" s="392">
        <f t="shared" si="3"/>
        <v>0</v>
      </c>
      <c r="P26" s="392">
        <f t="shared" si="1"/>
        <v>1430662.4469999999</v>
      </c>
      <c r="Q26" s="392">
        <f>SUM(Q6:Q25)</f>
        <v>1362409.2000000002</v>
      </c>
      <c r="R26" s="449">
        <f>SUM(R6:R25)</f>
        <v>1367917.13</v>
      </c>
    </row>
    <row r="27" spans="1:18" x14ac:dyDescent="0.25">
      <c r="A27" s="450" t="s">
        <v>39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451"/>
    </row>
    <row r="28" spans="1:18" x14ac:dyDescent="0.25">
      <c r="A28" s="452" t="s">
        <v>40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453"/>
    </row>
    <row r="29" spans="1:18" x14ac:dyDescent="0.25">
      <c r="A29" s="454" t="s">
        <v>776</v>
      </c>
      <c r="B29" s="395">
        <v>0</v>
      </c>
      <c r="C29" s="395">
        <v>0</v>
      </c>
      <c r="D29" s="395">
        <v>0</v>
      </c>
      <c r="E29" s="395">
        <v>0</v>
      </c>
      <c r="F29" s="395">
        <v>0</v>
      </c>
      <c r="G29" s="395">
        <v>0</v>
      </c>
      <c r="H29" s="395">
        <v>0</v>
      </c>
      <c r="I29" s="395">
        <v>0</v>
      </c>
      <c r="J29" s="395">
        <v>0</v>
      </c>
      <c r="K29" s="395">
        <v>0</v>
      </c>
      <c r="L29" s="395">
        <v>0</v>
      </c>
      <c r="M29" s="395">
        <v>0</v>
      </c>
      <c r="N29" s="395">
        <v>0</v>
      </c>
      <c r="O29" s="395">
        <v>0</v>
      </c>
      <c r="P29" s="395">
        <v>0</v>
      </c>
      <c r="Q29" s="395">
        <v>22</v>
      </c>
      <c r="R29" s="455">
        <v>22828.639999999999</v>
      </c>
    </row>
    <row r="30" spans="1:18" x14ac:dyDescent="0.25">
      <c r="A30" s="454" t="s">
        <v>800</v>
      </c>
      <c r="B30" s="395">
        <f>'Admin Gen'!B31</f>
        <v>0</v>
      </c>
      <c r="C30" s="396"/>
      <c r="D30" s="395">
        <f>DFC!AD10/12*9</f>
        <v>627.75</v>
      </c>
      <c r="E30" s="396"/>
      <c r="F30" s="395">
        <f>BRAVE!B31</f>
        <v>0</v>
      </c>
      <c r="G30" s="395"/>
      <c r="H30" s="395">
        <f>CP!O30</f>
        <v>1275.8500000000001</v>
      </c>
      <c r="I30" s="395">
        <f>OA!I40+OA!I102+OA!I268</f>
        <v>1200.8</v>
      </c>
      <c r="J30" s="395">
        <v>0</v>
      </c>
      <c r="K30" s="395">
        <v>0</v>
      </c>
      <c r="L30" s="395">
        <v>0</v>
      </c>
      <c r="M30" s="395">
        <v>0</v>
      </c>
      <c r="N30" s="395">
        <v>0</v>
      </c>
      <c r="O30" s="395">
        <v>0</v>
      </c>
      <c r="P30" s="397">
        <f t="shared" ref="P30:P42" si="4">SUM(B30:O30)</f>
        <v>3104.4</v>
      </c>
      <c r="Q30" s="397">
        <v>7113.6900000000014</v>
      </c>
      <c r="R30" s="456">
        <v>7539.5</v>
      </c>
    </row>
    <row r="31" spans="1:18" x14ac:dyDescent="0.25">
      <c r="A31" s="454" t="s">
        <v>838</v>
      </c>
      <c r="B31" s="395">
        <f>'Admin Gen'!B32</f>
        <v>64</v>
      </c>
      <c r="C31" s="395">
        <v>0</v>
      </c>
      <c r="D31" s="395">
        <v>0</v>
      </c>
      <c r="E31" s="395">
        <v>0</v>
      </c>
      <c r="F31" s="395">
        <v>0</v>
      </c>
      <c r="G31" s="395">
        <v>0</v>
      </c>
      <c r="H31" s="395">
        <v>0</v>
      </c>
      <c r="I31" s="395">
        <v>0</v>
      </c>
      <c r="J31" s="395">
        <v>0</v>
      </c>
      <c r="K31" s="395">
        <v>0</v>
      </c>
      <c r="L31" s="395">
        <v>0</v>
      </c>
      <c r="M31" s="395">
        <v>0</v>
      </c>
      <c r="N31" s="395">
        <v>0</v>
      </c>
      <c r="O31" s="395">
        <v>0</v>
      </c>
      <c r="P31" s="397">
        <f t="shared" si="4"/>
        <v>64</v>
      </c>
      <c r="Q31" s="397">
        <v>209.91</v>
      </c>
      <c r="R31" s="456">
        <v>0</v>
      </c>
    </row>
    <row r="32" spans="1:18" x14ac:dyDescent="0.25">
      <c r="A32" s="457" t="s">
        <v>801</v>
      </c>
      <c r="B32" s="398">
        <f t="shared" ref="B32:N32" si="5">SUM(B30:B31)</f>
        <v>64</v>
      </c>
      <c r="C32" s="398">
        <f t="shared" si="5"/>
        <v>0</v>
      </c>
      <c r="D32" s="398">
        <f t="shared" si="5"/>
        <v>627.75</v>
      </c>
      <c r="E32" s="398">
        <f t="shared" si="5"/>
        <v>0</v>
      </c>
      <c r="F32" s="398">
        <f t="shared" si="5"/>
        <v>0</v>
      </c>
      <c r="G32" s="398">
        <f t="shared" si="5"/>
        <v>0</v>
      </c>
      <c r="H32" s="398">
        <f t="shared" si="5"/>
        <v>1275.8500000000001</v>
      </c>
      <c r="I32" s="398">
        <f t="shared" si="5"/>
        <v>1200.8</v>
      </c>
      <c r="J32" s="398">
        <f t="shared" si="5"/>
        <v>0</v>
      </c>
      <c r="K32" s="398">
        <f t="shared" si="5"/>
        <v>0</v>
      </c>
      <c r="L32" s="398">
        <f t="shared" si="5"/>
        <v>0</v>
      </c>
      <c r="M32" s="398">
        <f t="shared" si="5"/>
        <v>0</v>
      </c>
      <c r="N32" s="398">
        <f t="shared" si="5"/>
        <v>0</v>
      </c>
      <c r="O32" s="398">
        <f>SUM(O29:O31)</f>
        <v>0</v>
      </c>
      <c r="P32" s="398">
        <f t="shared" si="4"/>
        <v>3168.4</v>
      </c>
      <c r="Q32" s="398">
        <v>7323.6000000000013</v>
      </c>
      <c r="R32" s="458">
        <v>7539.5</v>
      </c>
    </row>
    <row r="33" spans="1:18" x14ac:dyDescent="0.25">
      <c r="A33" s="457" t="s">
        <v>802</v>
      </c>
      <c r="B33" s="398">
        <f>'Admin Gen'!B35</f>
        <v>1232.0000000000002</v>
      </c>
      <c r="C33" s="398"/>
      <c r="D33" s="398">
        <f>DFC!AD11/12*9</f>
        <v>956.25</v>
      </c>
      <c r="E33" s="398"/>
      <c r="F33" s="398">
        <f>BRAVE!B35</f>
        <v>0</v>
      </c>
      <c r="G33" s="398"/>
      <c r="H33" s="398">
        <f>CP!O31</f>
        <v>1445</v>
      </c>
      <c r="I33" s="398">
        <f>OA!I103+OA!I41+OA!I269</f>
        <v>1888.0000000000002</v>
      </c>
      <c r="J33" s="398"/>
      <c r="K33" s="398"/>
      <c r="L33" s="398"/>
      <c r="M33" s="398"/>
      <c r="N33" s="398"/>
      <c r="O33" s="398"/>
      <c r="P33" s="398">
        <f t="shared" si="4"/>
        <v>5521.25</v>
      </c>
      <c r="Q33" s="398">
        <v>8800</v>
      </c>
      <c r="R33" s="458">
        <v>0</v>
      </c>
    </row>
    <row r="34" spans="1:18" x14ac:dyDescent="0.25">
      <c r="A34" s="457" t="s">
        <v>803</v>
      </c>
      <c r="B34" s="398">
        <f>'Admin Gen'!B36</f>
        <v>7500</v>
      </c>
      <c r="C34" s="398">
        <f>'BSF Award'!E11</f>
        <v>33662</v>
      </c>
      <c r="D34" s="398">
        <v>2035.5</v>
      </c>
      <c r="E34" s="398"/>
      <c r="F34" s="398">
        <f>BRAVE!B36</f>
        <v>0</v>
      </c>
      <c r="G34" s="398"/>
      <c r="H34" s="398"/>
      <c r="I34" s="398">
        <f>OA!I79+OA!I305+OA!I139</f>
        <v>797.60000000000014</v>
      </c>
      <c r="J34" s="398">
        <f>HWC!E17</f>
        <v>9292.09</v>
      </c>
      <c r="K34" s="398">
        <f>INCARES!E15</f>
        <v>2945</v>
      </c>
      <c r="L34" s="398">
        <f>MM!E22</f>
        <v>9600</v>
      </c>
      <c r="M34" s="398">
        <f>SSNEI!E18</f>
        <v>3200.5</v>
      </c>
      <c r="N34" s="398"/>
      <c r="O34" s="398"/>
      <c r="P34" s="398">
        <f t="shared" si="4"/>
        <v>69032.69</v>
      </c>
      <c r="Q34" s="398">
        <v>42739</v>
      </c>
      <c r="R34" s="458">
        <v>20000</v>
      </c>
    </row>
    <row r="35" spans="1:18" x14ac:dyDescent="0.25">
      <c r="A35" s="457" t="s">
        <v>804</v>
      </c>
      <c r="B35" s="398">
        <f>'Admin Gen'!B37</f>
        <v>0</v>
      </c>
      <c r="C35" s="398"/>
      <c r="D35" s="398">
        <f>DFC!AD9/12*9</f>
        <v>1800</v>
      </c>
      <c r="E35" s="398"/>
      <c r="F35" s="398">
        <f>BRAVE!B37</f>
        <v>0</v>
      </c>
      <c r="G35" s="398"/>
      <c r="H35" s="398"/>
      <c r="I35" s="398"/>
      <c r="J35" s="398"/>
      <c r="K35" s="398"/>
      <c r="L35" s="398"/>
      <c r="M35" s="398"/>
      <c r="N35" s="398"/>
      <c r="O35" s="398"/>
      <c r="P35" s="398">
        <f t="shared" si="4"/>
        <v>1800</v>
      </c>
      <c r="Q35" s="398"/>
      <c r="R35" s="458"/>
    </row>
    <row r="36" spans="1:18" x14ac:dyDescent="0.25">
      <c r="A36" s="454" t="s">
        <v>805</v>
      </c>
      <c r="B36" s="395">
        <f>'Admin Gen'!B37</f>
        <v>0</v>
      </c>
      <c r="C36" s="396">
        <v>0</v>
      </c>
      <c r="D36" s="395">
        <v>0</v>
      </c>
      <c r="E36" s="395">
        <v>0</v>
      </c>
      <c r="F36" s="395">
        <f>BRAVE!B38</f>
        <v>0</v>
      </c>
      <c r="G36" s="395">
        <v>0</v>
      </c>
      <c r="H36" s="395">
        <v>0</v>
      </c>
      <c r="I36" s="395">
        <v>0</v>
      </c>
      <c r="J36" s="395">
        <v>0</v>
      </c>
      <c r="K36" s="395">
        <v>0</v>
      </c>
      <c r="L36" s="395">
        <v>0</v>
      </c>
      <c r="M36" s="395">
        <v>0</v>
      </c>
      <c r="N36" s="395">
        <v>0</v>
      </c>
      <c r="O36" s="395">
        <v>0</v>
      </c>
      <c r="P36" s="399">
        <f t="shared" si="4"/>
        <v>0</v>
      </c>
      <c r="Q36" s="399">
        <v>0</v>
      </c>
      <c r="R36" s="459">
        <v>0</v>
      </c>
    </row>
    <row r="37" spans="1:18" x14ac:dyDescent="0.25">
      <c r="A37" s="454" t="s">
        <v>839</v>
      </c>
      <c r="B37" s="395">
        <f>'Admin Gen'!B38</f>
        <v>0</v>
      </c>
      <c r="C37" s="396">
        <f>'BSF Award'!E13</f>
        <v>6400</v>
      </c>
      <c r="D37" s="395">
        <v>0</v>
      </c>
      <c r="E37" s="395">
        <v>0</v>
      </c>
      <c r="F37" s="395">
        <f>BRAVE!B39</f>
        <v>0</v>
      </c>
      <c r="G37" s="395">
        <v>0</v>
      </c>
      <c r="H37" s="395">
        <v>0</v>
      </c>
      <c r="I37" s="395">
        <v>0</v>
      </c>
      <c r="J37" s="395">
        <v>0</v>
      </c>
      <c r="K37" s="395">
        <v>0</v>
      </c>
      <c r="L37" s="395">
        <v>0</v>
      </c>
      <c r="M37" s="395">
        <v>0</v>
      </c>
      <c r="N37" s="395">
        <v>0</v>
      </c>
      <c r="O37" s="395">
        <v>0</v>
      </c>
      <c r="P37" s="399">
        <f t="shared" si="4"/>
        <v>6400</v>
      </c>
      <c r="Q37" s="399">
        <v>5490</v>
      </c>
      <c r="R37" s="459">
        <v>14600</v>
      </c>
    </row>
    <row r="38" spans="1:18" x14ac:dyDescent="0.25">
      <c r="A38" s="454" t="s">
        <v>840</v>
      </c>
      <c r="B38" s="395">
        <f>'Admin Gen'!B39</f>
        <v>0</v>
      </c>
      <c r="C38" s="396">
        <f>'BSF Award'!E14</f>
        <v>2400</v>
      </c>
      <c r="D38" s="395">
        <v>0</v>
      </c>
      <c r="E38" s="395">
        <v>0</v>
      </c>
      <c r="F38" s="395">
        <f>BRAVE!B40</f>
        <v>0</v>
      </c>
      <c r="G38" s="395">
        <v>0</v>
      </c>
      <c r="H38" s="395">
        <v>0</v>
      </c>
      <c r="I38" s="395">
        <v>0</v>
      </c>
      <c r="J38" s="395">
        <v>0</v>
      </c>
      <c r="K38" s="395">
        <v>0</v>
      </c>
      <c r="L38" s="395">
        <v>0</v>
      </c>
      <c r="M38" s="395">
        <v>0</v>
      </c>
      <c r="N38" s="395">
        <v>0</v>
      </c>
      <c r="O38" s="395">
        <v>0</v>
      </c>
      <c r="P38" s="399">
        <f t="shared" si="4"/>
        <v>2400</v>
      </c>
      <c r="Q38" s="399">
        <v>7260</v>
      </c>
      <c r="R38" s="459">
        <v>8000</v>
      </c>
    </row>
    <row r="39" spans="1:18" x14ac:dyDescent="0.25">
      <c r="A39" s="454" t="s">
        <v>841</v>
      </c>
      <c r="B39" s="395">
        <f>'Admin Gen'!B40</f>
        <v>0</v>
      </c>
      <c r="C39" s="396">
        <f>'BSF Award'!E15</f>
        <v>112880</v>
      </c>
      <c r="D39" s="395">
        <v>0</v>
      </c>
      <c r="E39" s="395">
        <v>0</v>
      </c>
      <c r="F39" s="395">
        <f>BRAVE!B41</f>
        <v>0</v>
      </c>
      <c r="G39" s="395">
        <v>0</v>
      </c>
      <c r="H39" s="395">
        <v>0</v>
      </c>
      <c r="I39" s="395">
        <v>0</v>
      </c>
      <c r="J39" s="395">
        <v>0</v>
      </c>
      <c r="K39" s="395">
        <v>0</v>
      </c>
      <c r="L39" s="395">
        <v>0</v>
      </c>
      <c r="M39" s="395">
        <v>0</v>
      </c>
      <c r="N39" s="395">
        <v>0</v>
      </c>
      <c r="O39" s="395">
        <v>0</v>
      </c>
      <c r="P39" s="399">
        <f t="shared" si="4"/>
        <v>112880</v>
      </c>
      <c r="Q39" s="399">
        <v>100295</v>
      </c>
      <c r="R39" s="459">
        <v>96000</v>
      </c>
    </row>
    <row r="40" spans="1:18" x14ac:dyDescent="0.25">
      <c r="A40" s="454" t="s">
        <v>842</v>
      </c>
      <c r="B40" s="395">
        <f>'Admin Gen'!B41</f>
        <v>0</v>
      </c>
      <c r="C40" s="396">
        <f>'BSF Award'!E16</f>
        <v>1500</v>
      </c>
      <c r="D40" s="395">
        <v>0</v>
      </c>
      <c r="E40" s="395">
        <v>0</v>
      </c>
      <c r="F40" s="395">
        <f>BRAVE!B42</f>
        <v>0</v>
      </c>
      <c r="G40" s="395">
        <v>0</v>
      </c>
      <c r="H40" s="395">
        <v>0</v>
      </c>
      <c r="I40" s="395">
        <v>0</v>
      </c>
      <c r="J40" s="395">
        <v>0</v>
      </c>
      <c r="K40" s="395">
        <v>0</v>
      </c>
      <c r="L40" s="395">
        <v>0</v>
      </c>
      <c r="M40" s="395">
        <v>0</v>
      </c>
      <c r="N40" s="395">
        <v>0</v>
      </c>
      <c r="O40" s="395">
        <v>0</v>
      </c>
      <c r="P40" s="399">
        <f t="shared" si="4"/>
        <v>1500</v>
      </c>
      <c r="Q40" s="399">
        <v>1355</v>
      </c>
      <c r="R40" s="459">
        <v>1150</v>
      </c>
    </row>
    <row r="41" spans="1:18" x14ac:dyDescent="0.25">
      <c r="A41" s="454" t="s">
        <v>843</v>
      </c>
      <c r="B41" s="395">
        <f>'Admin Gen'!B42</f>
        <v>0</v>
      </c>
      <c r="C41" s="396">
        <f>'BSF Award'!E17</f>
        <v>2500</v>
      </c>
      <c r="D41" s="395">
        <v>0</v>
      </c>
      <c r="E41" s="395">
        <v>0</v>
      </c>
      <c r="F41" s="395">
        <f>BRAVE!B43</f>
        <v>0</v>
      </c>
      <c r="G41" s="395">
        <v>0</v>
      </c>
      <c r="H41" s="395">
        <v>0</v>
      </c>
      <c r="I41" s="395">
        <v>0</v>
      </c>
      <c r="J41" s="395">
        <v>0</v>
      </c>
      <c r="K41" s="395">
        <v>0</v>
      </c>
      <c r="L41" s="395">
        <v>0</v>
      </c>
      <c r="M41" s="395">
        <v>0</v>
      </c>
      <c r="N41" s="395">
        <v>0</v>
      </c>
      <c r="O41" s="395">
        <v>0</v>
      </c>
      <c r="P41" s="399">
        <f t="shared" si="4"/>
        <v>2500</v>
      </c>
      <c r="Q41" s="399"/>
      <c r="R41" s="459"/>
    </row>
    <row r="42" spans="1:18" x14ac:dyDescent="0.25">
      <c r="A42" s="454" t="s">
        <v>844</v>
      </c>
      <c r="B42" s="395">
        <f>'Admin Gen'!B43</f>
        <v>0</v>
      </c>
      <c r="C42" s="396">
        <f>'BSF Award'!E18</f>
        <v>3000</v>
      </c>
      <c r="D42" s="395">
        <v>0</v>
      </c>
      <c r="E42" s="395">
        <v>0</v>
      </c>
      <c r="F42" s="395">
        <f>BRAVE!B44</f>
        <v>0</v>
      </c>
      <c r="G42" s="395">
        <v>0</v>
      </c>
      <c r="H42" s="395">
        <v>0</v>
      </c>
      <c r="I42" s="395">
        <v>0</v>
      </c>
      <c r="J42" s="395">
        <v>0</v>
      </c>
      <c r="K42" s="395">
        <v>0</v>
      </c>
      <c r="L42" s="395">
        <v>0</v>
      </c>
      <c r="M42" s="395">
        <v>0</v>
      </c>
      <c r="N42" s="395">
        <v>0</v>
      </c>
      <c r="O42" s="395">
        <v>0</v>
      </c>
      <c r="P42" s="399">
        <f t="shared" si="4"/>
        <v>3000</v>
      </c>
      <c r="Q42" s="399">
        <v>114400</v>
      </c>
      <c r="R42" s="459">
        <v>119750</v>
      </c>
    </row>
    <row r="43" spans="1:18" x14ac:dyDescent="0.25">
      <c r="A43" s="457" t="s">
        <v>806</v>
      </c>
      <c r="B43" s="398">
        <f t="shared" ref="B43:O43" si="6">SUM(B36:B42)</f>
        <v>0</v>
      </c>
      <c r="C43" s="398">
        <f t="shared" si="6"/>
        <v>128680</v>
      </c>
      <c r="D43" s="398">
        <f t="shared" si="6"/>
        <v>0</v>
      </c>
      <c r="E43" s="398">
        <f t="shared" si="6"/>
        <v>0</v>
      </c>
      <c r="F43" s="398">
        <f t="shared" si="6"/>
        <v>0</v>
      </c>
      <c r="G43" s="398">
        <f t="shared" si="6"/>
        <v>0</v>
      </c>
      <c r="H43" s="398">
        <f t="shared" si="6"/>
        <v>0</v>
      </c>
      <c r="I43" s="398">
        <f t="shared" si="6"/>
        <v>0</v>
      </c>
      <c r="J43" s="398">
        <f t="shared" si="6"/>
        <v>0</v>
      </c>
      <c r="K43" s="398">
        <f t="shared" si="6"/>
        <v>0</v>
      </c>
      <c r="L43" s="398">
        <f t="shared" si="6"/>
        <v>0</v>
      </c>
      <c r="M43" s="398">
        <f t="shared" si="6"/>
        <v>0</v>
      </c>
      <c r="N43" s="398">
        <f t="shared" si="6"/>
        <v>0</v>
      </c>
      <c r="O43" s="398">
        <f t="shared" si="6"/>
        <v>0</v>
      </c>
      <c r="P43" s="398">
        <f>SUM(B36:O42)</f>
        <v>128680</v>
      </c>
      <c r="Q43" s="398">
        <v>31481.17</v>
      </c>
      <c r="R43" s="458">
        <v>37684.300000000003</v>
      </c>
    </row>
    <row r="44" spans="1:18" x14ac:dyDescent="0.25">
      <c r="A44" s="460" t="s">
        <v>759</v>
      </c>
      <c r="B44" s="395">
        <v>0</v>
      </c>
      <c r="C44" s="396">
        <v>38400</v>
      </c>
      <c r="D44" s="395">
        <v>0</v>
      </c>
      <c r="E44" s="395">
        <v>0</v>
      </c>
      <c r="F44" s="395">
        <f>BRAVE!B49</f>
        <v>0</v>
      </c>
      <c r="G44" s="395">
        <f>BRAVE!C49</f>
        <v>40000</v>
      </c>
      <c r="H44" s="395">
        <v>0</v>
      </c>
      <c r="I44" s="395">
        <f>OA!I37+OA!I38</f>
        <v>19421</v>
      </c>
      <c r="J44" s="395">
        <f>HWC!E12</f>
        <v>32129.920000000002</v>
      </c>
      <c r="K44" s="395">
        <f>INCARES!E11</f>
        <v>1600</v>
      </c>
      <c r="L44" s="396">
        <f>MM!E17</f>
        <v>14000</v>
      </c>
      <c r="M44" s="396">
        <f>SSNEI!E10</f>
        <v>4800</v>
      </c>
      <c r="N44" s="395">
        <v>0</v>
      </c>
      <c r="O44" s="395">
        <v>0</v>
      </c>
      <c r="P44" s="399">
        <f t="shared" ref="P44:P51" si="7">SUM(B44:O44)</f>
        <v>150350.91999999998</v>
      </c>
      <c r="Q44" s="399">
        <v>0</v>
      </c>
      <c r="R44" s="459">
        <v>3600</v>
      </c>
    </row>
    <row r="45" spans="1:18" x14ac:dyDescent="0.25">
      <c r="A45" s="460" t="s">
        <v>845</v>
      </c>
      <c r="B45" s="395">
        <f>'Admin Gen'!B46</f>
        <v>0</v>
      </c>
      <c r="C45" s="396">
        <f>'BSF Award'!E19</f>
        <v>12600</v>
      </c>
      <c r="D45" s="395">
        <v>0</v>
      </c>
      <c r="E45" s="395">
        <v>0</v>
      </c>
      <c r="F45" s="395">
        <f>BRAVE!B47</f>
        <v>0</v>
      </c>
      <c r="G45" s="395">
        <v>0</v>
      </c>
      <c r="H45" s="395">
        <v>0</v>
      </c>
      <c r="I45" s="395">
        <v>0</v>
      </c>
      <c r="J45" s="395">
        <v>0</v>
      </c>
      <c r="K45" s="395">
        <v>0</v>
      </c>
      <c r="L45" s="395">
        <v>0</v>
      </c>
      <c r="M45" s="395">
        <v>0</v>
      </c>
      <c r="N45" s="395">
        <v>0</v>
      </c>
      <c r="O45" s="395">
        <v>0</v>
      </c>
      <c r="P45" s="399">
        <f t="shared" si="7"/>
        <v>12600</v>
      </c>
      <c r="Q45" s="399">
        <v>125</v>
      </c>
      <c r="R45" s="459">
        <v>0</v>
      </c>
    </row>
    <row r="46" spans="1:18" x14ac:dyDescent="0.25">
      <c r="A46" s="460" t="s">
        <v>846</v>
      </c>
      <c r="B46" s="395">
        <f>'Admin Gen'!B47</f>
        <v>0</v>
      </c>
      <c r="C46" s="395">
        <v>0</v>
      </c>
      <c r="D46" s="395">
        <v>0</v>
      </c>
      <c r="E46" s="395">
        <v>0</v>
      </c>
      <c r="F46" s="395">
        <f>BRAVE!B48</f>
        <v>0</v>
      </c>
      <c r="G46" s="395">
        <v>0</v>
      </c>
      <c r="H46" s="395">
        <v>0</v>
      </c>
      <c r="I46" s="395">
        <v>0</v>
      </c>
      <c r="J46" s="395">
        <f>HWC!E11</f>
        <v>20412.329999999998</v>
      </c>
      <c r="K46" s="395">
        <f>INCARES!E10</f>
        <v>21188</v>
      </c>
      <c r="L46" s="396">
        <f>MM!E16</f>
        <v>5941</v>
      </c>
      <c r="M46" s="395">
        <v>0</v>
      </c>
      <c r="N46" s="395">
        <v>0</v>
      </c>
      <c r="O46" s="395">
        <v>0</v>
      </c>
      <c r="P46" s="399">
        <f t="shared" si="7"/>
        <v>47541.33</v>
      </c>
      <c r="Q46" s="399">
        <v>1425</v>
      </c>
      <c r="R46" s="459">
        <v>1560</v>
      </c>
    </row>
    <row r="47" spans="1:18" x14ac:dyDescent="0.25">
      <c r="A47" s="457" t="s">
        <v>807</v>
      </c>
      <c r="B47" s="398">
        <f t="shared" ref="B47:O47" si="8">SUM(B44:B46)</f>
        <v>0</v>
      </c>
      <c r="C47" s="398">
        <f t="shared" si="8"/>
        <v>51000</v>
      </c>
      <c r="D47" s="398">
        <f t="shared" si="8"/>
        <v>0</v>
      </c>
      <c r="E47" s="398">
        <f t="shared" si="8"/>
        <v>0</v>
      </c>
      <c r="F47" s="398">
        <f t="shared" si="8"/>
        <v>0</v>
      </c>
      <c r="G47" s="398">
        <f t="shared" si="8"/>
        <v>40000</v>
      </c>
      <c r="H47" s="398">
        <f t="shared" si="8"/>
        <v>0</v>
      </c>
      <c r="I47" s="398">
        <f t="shared" si="8"/>
        <v>19421</v>
      </c>
      <c r="J47" s="398">
        <f t="shared" si="8"/>
        <v>52542.25</v>
      </c>
      <c r="K47" s="398">
        <f t="shared" si="8"/>
        <v>22788</v>
      </c>
      <c r="L47" s="398">
        <f t="shared" si="8"/>
        <v>19941</v>
      </c>
      <c r="M47" s="398">
        <f t="shared" si="8"/>
        <v>4800</v>
      </c>
      <c r="N47" s="398">
        <f t="shared" si="8"/>
        <v>0</v>
      </c>
      <c r="O47" s="398">
        <f t="shared" si="8"/>
        <v>0</v>
      </c>
      <c r="P47" s="398">
        <f t="shared" si="7"/>
        <v>210492.25</v>
      </c>
      <c r="Q47" s="398">
        <v>33031.17</v>
      </c>
      <c r="R47" s="458">
        <v>42844.3</v>
      </c>
    </row>
    <row r="48" spans="1:18" ht="27" x14ac:dyDescent="0.25">
      <c r="A48" s="457" t="s">
        <v>808</v>
      </c>
      <c r="B48" s="398">
        <f>'Admin Gen'!B51</f>
        <v>50</v>
      </c>
      <c r="C48" s="398">
        <v>0</v>
      </c>
      <c r="D48" s="398">
        <v>0</v>
      </c>
      <c r="E48" s="398">
        <v>0</v>
      </c>
      <c r="F48" s="398">
        <v>0</v>
      </c>
      <c r="G48" s="398">
        <v>0</v>
      </c>
      <c r="H48" s="398">
        <f>CP!O37</f>
        <v>40000</v>
      </c>
      <c r="I48" s="398">
        <v>0</v>
      </c>
      <c r="J48" s="398">
        <v>0</v>
      </c>
      <c r="K48" s="398">
        <v>0</v>
      </c>
      <c r="L48" s="398">
        <v>0</v>
      </c>
      <c r="M48" s="398">
        <v>0</v>
      </c>
      <c r="N48" s="398">
        <v>0</v>
      </c>
      <c r="O48" s="398">
        <v>0</v>
      </c>
      <c r="P48" s="398">
        <f t="shared" si="7"/>
        <v>40050</v>
      </c>
      <c r="Q48" s="398">
        <v>26318.199999999997</v>
      </c>
      <c r="R48" s="458">
        <v>100600</v>
      </c>
    </row>
    <row r="49" spans="1:18" x14ac:dyDescent="0.25">
      <c r="A49" s="457" t="s">
        <v>809</v>
      </c>
      <c r="B49" s="398">
        <f>'Admin Gen'!B52</f>
        <v>0</v>
      </c>
      <c r="C49" s="398">
        <f>'BSF Award'!E20</f>
        <v>5000</v>
      </c>
      <c r="D49" s="398">
        <f>DFC!AJ13/12*9</f>
        <v>2925</v>
      </c>
      <c r="E49" s="398">
        <v>0</v>
      </c>
      <c r="F49" s="398">
        <f>BRAVE!B53</f>
        <v>600</v>
      </c>
      <c r="G49" s="398">
        <v>0</v>
      </c>
      <c r="H49" s="398">
        <f>CP!O33+10000</f>
        <v>12141.49</v>
      </c>
      <c r="I49" s="398">
        <f>OA!I43+OA!I105+OA!I271</f>
        <v>2015.5200000000002</v>
      </c>
      <c r="J49" s="398">
        <v>0</v>
      </c>
      <c r="K49" s="398">
        <v>0</v>
      </c>
      <c r="L49" s="398">
        <v>0</v>
      </c>
      <c r="M49" s="398">
        <v>0</v>
      </c>
      <c r="N49" s="398">
        <v>0</v>
      </c>
      <c r="O49" s="398">
        <v>0</v>
      </c>
      <c r="P49" s="398">
        <f t="shared" si="7"/>
        <v>22682.01</v>
      </c>
      <c r="Q49" s="398">
        <v>27963.85</v>
      </c>
      <c r="R49" s="458">
        <v>9412.58</v>
      </c>
    </row>
    <row r="50" spans="1:18" x14ac:dyDescent="0.25">
      <c r="A50" s="457" t="s">
        <v>810</v>
      </c>
      <c r="B50" s="398">
        <f>'Admin Gen'!B53</f>
        <v>3500</v>
      </c>
      <c r="C50" s="398"/>
      <c r="D50" s="398">
        <f>DFC!AD12/12*9</f>
        <v>428.96249999999998</v>
      </c>
      <c r="E50" s="398">
        <v>0</v>
      </c>
      <c r="F50" s="398">
        <f>BRAVE!B54</f>
        <v>700</v>
      </c>
      <c r="G50" s="398">
        <v>0</v>
      </c>
      <c r="H50" s="398">
        <f>CP!O34</f>
        <v>1214.1400000000001</v>
      </c>
      <c r="I50" s="398">
        <f>OA!I307</f>
        <v>1142.72</v>
      </c>
      <c r="J50" s="398">
        <v>0</v>
      </c>
      <c r="K50" s="398">
        <v>0</v>
      </c>
      <c r="L50" s="398">
        <v>0</v>
      </c>
      <c r="M50" s="398">
        <v>0</v>
      </c>
      <c r="N50" s="398">
        <v>0</v>
      </c>
      <c r="O50" s="398">
        <v>0</v>
      </c>
      <c r="P50" s="398">
        <f t="shared" si="7"/>
        <v>6985.8225000000002</v>
      </c>
      <c r="Q50" s="398">
        <v>3937.9999999999995</v>
      </c>
      <c r="R50" s="458">
        <v>5915.4</v>
      </c>
    </row>
    <row r="51" spans="1:18" x14ac:dyDescent="0.25">
      <c r="A51" s="461" t="s">
        <v>777</v>
      </c>
      <c r="B51" s="400">
        <f t="shared" ref="B51:O51" si="9">SUM(B50+B49+B48+B47+B43+B35+B34+B33+B32)</f>
        <v>12346</v>
      </c>
      <c r="C51" s="400">
        <f t="shared" si="9"/>
        <v>218342</v>
      </c>
      <c r="D51" s="400">
        <f t="shared" si="9"/>
        <v>8773.4624999999996</v>
      </c>
      <c r="E51" s="400">
        <f t="shared" si="9"/>
        <v>0</v>
      </c>
      <c r="F51" s="400">
        <f t="shared" si="9"/>
        <v>1300</v>
      </c>
      <c r="G51" s="400">
        <f t="shared" si="9"/>
        <v>40000</v>
      </c>
      <c r="H51" s="400">
        <f t="shared" si="9"/>
        <v>56076.479999999996</v>
      </c>
      <c r="I51" s="400">
        <f t="shared" si="9"/>
        <v>26465.64</v>
      </c>
      <c r="J51" s="400">
        <f t="shared" si="9"/>
        <v>61834.34</v>
      </c>
      <c r="K51" s="400">
        <f t="shared" si="9"/>
        <v>25733</v>
      </c>
      <c r="L51" s="400">
        <f t="shared" si="9"/>
        <v>29541</v>
      </c>
      <c r="M51" s="400">
        <f t="shared" si="9"/>
        <v>8000.5</v>
      </c>
      <c r="N51" s="400">
        <f t="shared" si="9"/>
        <v>0</v>
      </c>
      <c r="O51" s="400">
        <f t="shared" si="9"/>
        <v>0</v>
      </c>
      <c r="P51" s="400">
        <f t="shared" si="7"/>
        <v>488412.42249999999</v>
      </c>
      <c r="Q51" s="400">
        <v>264535.82</v>
      </c>
      <c r="R51" s="462">
        <v>328890.42000000004</v>
      </c>
    </row>
    <row r="52" spans="1:18" x14ac:dyDescent="0.25">
      <c r="A52" s="463" t="s">
        <v>778</v>
      </c>
      <c r="B52" s="401"/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>
        <v>0</v>
      </c>
      <c r="R52" s="464">
        <v>0</v>
      </c>
    </row>
    <row r="53" spans="1:18" x14ac:dyDescent="0.25">
      <c r="A53" s="465" t="s">
        <v>811</v>
      </c>
      <c r="B53" s="402">
        <f>'Admin Gen'!B57</f>
        <v>16000</v>
      </c>
      <c r="C53" s="402">
        <f>'BSF Award'!E21</f>
        <v>31200</v>
      </c>
      <c r="D53" s="402">
        <f>DFC!I9</f>
        <v>50249.215499999998</v>
      </c>
      <c r="E53" s="402">
        <v>0</v>
      </c>
      <c r="F53" s="402">
        <f>BRAVE!B57</f>
        <v>0</v>
      </c>
      <c r="G53" s="402">
        <f>BRAVE!C57</f>
        <v>100000</v>
      </c>
      <c r="H53" s="402">
        <f>CP!Q17</f>
        <v>98362</v>
      </c>
      <c r="I53" s="402">
        <f>OA!H33+OA!H97+OA!H263</f>
        <v>52802</v>
      </c>
      <c r="J53" s="402">
        <f>HWC!E9</f>
        <v>47973.37000000001</v>
      </c>
      <c r="K53" s="402">
        <f>INCARES!E8</f>
        <v>36911</v>
      </c>
      <c r="L53" s="403">
        <f>MM!E14</f>
        <v>26000</v>
      </c>
      <c r="M53" s="403">
        <f>SSNEI!E8</f>
        <v>20800</v>
      </c>
      <c r="N53" s="402">
        <v>0</v>
      </c>
      <c r="O53" s="402">
        <v>0</v>
      </c>
      <c r="P53" s="404">
        <f t="shared" ref="P53:P66" si="10">SUM(B53:O53)</f>
        <v>480297.58549999999</v>
      </c>
      <c r="Q53" s="404">
        <f>22.37+420500.12</f>
        <v>420522.49</v>
      </c>
      <c r="R53" s="466">
        <v>359896.5</v>
      </c>
    </row>
    <row r="54" spans="1:18" x14ac:dyDescent="0.25">
      <c r="A54" s="465" t="s">
        <v>847</v>
      </c>
      <c r="B54" s="402">
        <f>'Admin Gen'!B58</f>
        <v>6000</v>
      </c>
      <c r="C54" s="402">
        <f>'BSF Award'!E22</f>
        <v>600</v>
      </c>
      <c r="D54" s="402">
        <v>0</v>
      </c>
      <c r="E54" s="402">
        <v>0</v>
      </c>
      <c r="F54" s="402">
        <f>BRAVE!B58</f>
        <v>0</v>
      </c>
      <c r="G54" s="402">
        <f>BRAVE!C58</f>
        <v>4000</v>
      </c>
      <c r="H54" s="402">
        <v>0</v>
      </c>
      <c r="I54" s="402">
        <v>0</v>
      </c>
      <c r="J54" s="402">
        <v>0</v>
      </c>
      <c r="K54" s="402">
        <v>0</v>
      </c>
      <c r="L54" s="402">
        <v>0</v>
      </c>
      <c r="M54" s="402">
        <v>0</v>
      </c>
      <c r="N54" s="402">
        <v>0</v>
      </c>
      <c r="O54" s="402">
        <v>0</v>
      </c>
      <c r="P54" s="404">
        <f t="shared" si="10"/>
        <v>10600</v>
      </c>
      <c r="Q54" s="404">
        <v>10955.470000000001</v>
      </c>
      <c r="R54" s="466">
        <v>0</v>
      </c>
    </row>
    <row r="55" spans="1:18" x14ac:dyDescent="0.25">
      <c r="A55" s="465" t="s">
        <v>848</v>
      </c>
      <c r="B55" s="402">
        <f>'Admin Gen'!B59</f>
        <v>0</v>
      </c>
      <c r="C55" s="402">
        <v>0</v>
      </c>
      <c r="D55" s="402">
        <v>0</v>
      </c>
      <c r="E55" s="402">
        <v>0</v>
      </c>
      <c r="F55" s="402">
        <f>BRAVE!B59</f>
        <v>0</v>
      </c>
      <c r="G55" s="402">
        <f>BRAVE!C59</f>
        <v>0</v>
      </c>
      <c r="H55" s="402">
        <v>0</v>
      </c>
      <c r="I55" s="402">
        <v>0</v>
      </c>
      <c r="J55" s="402">
        <v>0</v>
      </c>
      <c r="K55" s="402">
        <v>0</v>
      </c>
      <c r="L55" s="402">
        <v>0</v>
      </c>
      <c r="M55" s="402">
        <v>0</v>
      </c>
      <c r="N55" s="402">
        <v>0</v>
      </c>
      <c r="O55" s="402">
        <v>0</v>
      </c>
      <c r="P55" s="404">
        <f t="shared" si="10"/>
        <v>0</v>
      </c>
      <c r="Q55" s="404">
        <v>6250</v>
      </c>
      <c r="R55" s="466">
        <v>6500</v>
      </c>
    </row>
    <row r="56" spans="1:18" x14ac:dyDescent="0.25">
      <c r="A56" s="465" t="s">
        <v>849</v>
      </c>
      <c r="B56" s="402">
        <f>'Admin Gen'!B60</f>
        <v>0</v>
      </c>
      <c r="C56" s="402">
        <v>0</v>
      </c>
      <c r="D56" s="402">
        <v>0</v>
      </c>
      <c r="E56" s="402">
        <v>0</v>
      </c>
      <c r="F56" s="402">
        <f>BRAVE!B60</f>
        <v>0</v>
      </c>
      <c r="G56" s="402">
        <f>BRAVE!C60</f>
        <v>0</v>
      </c>
      <c r="H56" s="402">
        <v>0</v>
      </c>
      <c r="I56" s="402">
        <v>0</v>
      </c>
      <c r="J56" s="402">
        <v>0</v>
      </c>
      <c r="K56" s="402">
        <v>0</v>
      </c>
      <c r="L56" s="402">
        <v>0</v>
      </c>
      <c r="M56" s="402">
        <v>0</v>
      </c>
      <c r="N56" s="402">
        <v>0</v>
      </c>
      <c r="O56" s="402">
        <v>0</v>
      </c>
      <c r="P56" s="404">
        <f t="shared" si="10"/>
        <v>0</v>
      </c>
      <c r="Q56" s="404">
        <v>2178.6</v>
      </c>
      <c r="R56" s="466">
        <v>0</v>
      </c>
    </row>
    <row r="57" spans="1:18" x14ac:dyDescent="0.25">
      <c r="A57" s="467" t="s">
        <v>812</v>
      </c>
      <c r="B57" s="405">
        <f t="shared" ref="B57:O57" si="11">SUM(B53:B56)</f>
        <v>22000</v>
      </c>
      <c r="C57" s="405">
        <f t="shared" si="11"/>
        <v>31800</v>
      </c>
      <c r="D57" s="405">
        <f t="shared" si="11"/>
        <v>50249.215499999998</v>
      </c>
      <c r="E57" s="405">
        <f t="shared" si="11"/>
        <v>0</v>
      </c>
      <c r="F57" s="405">
        <f t="shared" si="11"/>
        <v>0</v>
      </c>
      <c r="G57" s="405">
        <f t="shared" si="11"/>
        <v>104000</v>
      </c>
      <c r="H57" s="405">
        <f t="shared" si="11"/>
        <v>98362</v>
      </c>
      <c r="I57" s="405">
        <f t="shared" si="11"/>
        <v>52802</v>
      </c>
      <c r="J57" s="405">
        <f t="shared" si="11"/>
        <v>47973.37000000001</v>
      </c>
      <c r="K57" s="405">
        <f t="shared" si="11"/>
        <v>36911</v>
      </c>
      <c r="L57" s="405">
        <f t="shared" si="11"/>
        <v>26000</v>
      </c>
      <c r="M57" s="405">
        <f t="shared" si="11"/>
        <v>20800</v>
      </c>
      <c r="N57" s="405">
        <f t="shared" si="11"/>
        <v>0</v>
      </c>
      <c r="O57" s="405">
        <f t="shared" si="11"/>
        <v>0</v>
      </c>
      <c r="P57" s="405">
        <f t="shared" si="10"/>
        <v>490897.58549999999</v>
      </c>
      <c r="Q57" s="405">
        <f>SUM(Q52:Q56)</f>
        <v>439906.55999999994</v>
      </c>
      <c r="R57" s="468">
        <f>SUM(R52:R56)</f>
        <v>366396.5</v>
      </c>
    </row>
    <row r="58" spans="1:18" x14ac:dyDescent="0.25">
      <c r="A58" s="465" t="s">
        <v>813</v>
      </c>
      <c r="B58" s="402">
        <f>'Admin Gen'!B62</f>
        <v>160</v>
      </c>
      <c r="C58" s="402">
        <f>'BSF Award'!G23/2</f>
        <v>2964</v>
      </c>
      <c r="D58" s="402">
        <v>0</v>
      </c>
      <c r="E58" s="402">
        <v>0</v>
      </c>
      <c r="F58" s="402">
        <f>BRAVE!B62</f>
        <v>0</v>
      </c>
      <c r="G58" s="402">
        <f>BRAVE!C62</f>
        <v>1000</v>
      </c>
      <c r="H58" s="402">
        <f>CP!Q17*0.0765</f>
        <v>7524.6930000000002</v>
      </c>
      <c r="I58" s="402">
        <f>I53*0.0765</f>
        <v>4039.3530000000001</v>
      </c>
      <c r="J58" s="402">
        <f>J53*0.0765</f>
        <v>3669.9628050000006</v>
      </c>
      <c r="K58" s="402">
        <f>K53*0.0765</f>
        <v>2823.6914999999999</v>
      </c>
      <c r="L58" s="402">
        <f>L53*0.0765</f>
        <v>1989</v>
      </c>
      <c r="M58" s="402">
        <f>3120/2</f>
        <v>1560</v>
      </c>
      <c r="N58" s="402">
        <v>0</v>
      </c>
      <c r="O58" s="402">
        <v>0</v>
      </c>
      <c r="P58" s="404">
        <f t="shared" si="10"/>
        <v>25730.700304999998</v>
      </c>
      <c r="Q58" s="404">
        <v>34562.65</v>
      </c>
      <c r="R58" s="466">
        <v>28371.02</v>
      </c>
    </row>
    <row r="59" spans="1:18" x14ac:dyDescent="0.25">
      <c r="A59" s="465" t="s">
        <v>850</v>
      </c>
      <c r="B59" s="402">
        <f>'Admin Gen'!B63</f>
        <v>1224</v>
      </c>
      <c r="C59" s="402">
        <v>0</v>
      </c>
      <c r="D59" s="402">
        <f>DFC!U10</f>
        <v>3844.0649857499998</v>
      </c>
      <c r="E59" s="402">
        <v>0</v>
      </c>
      <c r="F59" s="402">
        <f>BRAVE!B63</f>
        <v>0</v>
      </c>
      <c r="G59" s="402">
        <f>BRAVE!C63</f>
        <v>7650</v>
      </c>
      <c r="H59" s="402">
        <v>0</v>
      </c>
      <c r="I59" s="402">
        <v>0</v>
      </c>
      <c r="J59" s="402">
        <v>0</v>
      </c>
      <c r="K59" s="402">
        <v>0</v>
      </c>
      <c r="L59" s="402">
        <v>0</v>
      </c>
      <c r="M59" s="402">
        <v>0</v>
      </c>
      <c r="N59" s="402">
        <v>0</v>
      </c>
      <c r="O59" s="402">
        <v>0</v>
      </c>
      <c r="P59" s="404">
        <f t="shared" si="10"/>
        <v>12718.064985749999</v>
      </c>
      <c r="Q59" s="404">
        <v>0</v>
      </c>
      <c r="R59" s="466">
        <v>1560</v>
      </c>
    </row>
    <row r="60" spans="1:18" x14ac:dyDescent="0.25">
      <c r="A60" s="465" t="s">
        <v>851</v>
      </c>
      <c r="B60" s="402">
        <f>'Admin Gen'!B64</f>
        <v>240</v>
      </c>
      <c r="C60" s="402">
        <v>0</v>
      </c>
      <c r="D60" s="402">
        <f>DFC!U12</f>
        <v>753.73823249999998</v>
      </c>
      <c r="E60" s="402">
        <v>0</v>
      </c>
      <c r="F60" s="402">
        <f>BRAVE!B64</f>
        <v>0</v>
      </c>
      <c r="G60" s="402">
        <f>BRAVE!C64</f>
        <v>1500</v>
      </c>
      <c r="H60" s="402">
        <v>0</v>
      </c>
      <c r="I60" s="402">
        <v>0</v>
      </c>
      <c r="J60" s="402">
        <v>0</v>
      </c>
      <c r="K60" s="402">
        <v>0</v>
      </c>
      <c r="L60" s="402">
        <v>0</v>
      </c>
      <c r="M60" s="402">
        <v>0</v>
      </c>
      <c r="N60" s="402">
        <v>0</v>
      </c>
      <c r="O60" s="402">
        <v>0</v>
      </c>
      <c r="P60" s="404">
        <f t="shared" si="10"/>
        <v>2493.7382324999999</v>
      </c>
      <c r="Q60" s="404">
        <v>0</v>
      </c>
      <c r="R60" s="466">
        <v>1560</v>
      </c>
    </row>
    <row r="61" spans="1:18" x14ac:dyDescent="0.25">
      <c r="A61" s="467" t="s">
        <v>814</v>
      </c>
      <c r="B61" s="405">
        <f t="shared" ref="B61:O61" si="12">SUM(B58:B60)</f>
        <v>1624</v>
      </c>
      <c r="C61" s="405">
        <f t="shared" si="12"/>
        <v>2964</v>
      </c>
      <c r="D61" s="405">
        <f t="shared" si="12"/>
        <v>4597.8032182500001</v>
      </c>
      <c r="E61" s="405">
        <f t="shared" si="12"/>
        <v>0</v>
      </c>
      <c r="F61" s="405">
        <f t="shared" si="12"/>
        <v>0</v>
      </c>
      <c r="G61" s="405">
        <f t="shared" si="12"/>
        <v>10150</v>
      </c>
      <c r="H61" s="405">
        <f t="shared" si="12"/>
        <v>7524.6930000000002</v>
      </c>
      <c r="I61" s="405">
        <f t="shared" si="12"/>
        <v>4039.3530000000001</v>
      </c>
      <c r="J61" s="405">
        <f t="shared" si="12"/>
        <v>3669.9628050000006</v>
      </c>
      <c r="K61" s="405">
        <f t="shared" si="12"/>
        <v>2823.6914999999999</v>
      </c>
      <c r="L61" s="405">
        <f t="shared" si="12"/>
        <v>1989</v>
      </c>
      <c r="M61" s="405">
        <f t="shared" si="12"/>
        <v>1560</v>
      </c>
      <c r="N61" s="405">
        <f t="shared" si="12"/>
        <v>0</v>
      </c>
      <c r="O61" s="405">
        <f t="shared" si="12"/>
        <v>0</v>
      </c>
      <c r="P61" s="405">
        <f t="shared" si="10"/>
        <v>40942.503523250001</v>
      </c>
      <c r="Q61" s="405">
        <v>34562.65</v>
      </c>
      <c r="R61" s="468">
        <v>31491.02</v>
      </c>
    </row>
    <row r="62" spans="1:18" x14ac:dyDescent="0.25">
      <c r="A62" s="465" t="s">
        <v>815</v>
      </c>
      <c r="B62" s="402">
        <f>'Admin Gen'!B66</f>
        <v>0</v>
      </c>
      <c r="C62" s="402">
        <f>C58</f>
        <v>2964</v>
      </c>
      <c r="D62" s="402">
        <v>0</v>
      </c>
      <c r="E62" s="402">
        <v>0</v>
      </c>
      <c r="F62" s="402">
        <f>BRAVE!B66</f>
        <v>0</v>
      </c>
      <c r="G62" s="402">
        <f>BRAVE!C66</f>
        <v>0</v>
      </c>
      <c r="H62" s="402">
        <v>11508.35</v>
      </c>
      <c r="I62" s="402">
        <v>6177.83</v>
      </c>
      <c r="J62" s="402">
        <v>6060.41</v>
      </c>
      <c r="K62" s="402">
        <v>3832.31</v>
      </c>
      <c r="L62" s="403">
        <v>2951</v>
      </c>
      <c r="M62" s="403">
        <f>M58</f>
        <v>1560</v>
      </c>
      <c r="N62" s="402">
        <v>0</v>
      </c>
      <c r="O62" s="402">
        <v>0</v>
      </c>
      <c r="P62" s="404">
        <f t="shared" si="10"/>
        <v>35053.9</v>
      </c>
      <c r="Q62" s="404">
        <v>0</v>
      </c>
      <c r="R62" s="466">
        <v>9027.02</v>
      </c>
    </row>
    <row r="63" spans="1:18" ht="27" x14ac:dyDescent="0.25">
      <c r="A63" s="465" t="s">
        <v>852</v>
      </c>
      <c r="B63" s="402">
        <f>'Admin Gen'!B67</f>
        <v>480</v>
      </c>
      <c r="C63" s="402">
        <v>0</v>
      </c>
      <c r="D63" s="402">
        <f>DFC!U9</f>
        <v>1507.476465</v>
      </c>
      <c r="E63" s="402">
        <v>0</v>
      </c>
      <c r="F63" s="402">
        <f>BRAVE!B67</f>
        <v>0</v>
      </c>
      <c r="G63" s="402">
        <f>BRAVE!C67</f>
        <v>3000</v>
      </c>
      <c r="H63" s="402">
        <v>0</v>
      </c>
      <c r="I63" s="402">
        <v>0</v>
      </c>
      <c r="J63" s="402">
        <v>0</v>
      </c>
      <c r="K63" s="402">
        <v>0</v>
      </c>
      <c r="L63" s="402">
        <v>0</v>
      </c>
      <c r="M63" s="402">
        <v>0</v>
      </c>
      <c r="N63" s="402">
        <v>0</v>
      </c>
      <c r="O63" s="402">
        <v>0</v>
      </c>
      <c r="P63" s="404">
        <f t="shared" si="10"/>
        <v>4987.4764649999997</v>
      </c>
      <c r="Q63" s="404">
        <v>6420.5999999999995</v>
      </c>
      <c r="R63" s="466">
        <v>7718.1399999999994</v>
      </c>
    </row>
    <row r="64" spans="1:18" ht="27" x14ac:dyDescent="0.25">
      <c r="A64" s="465" t="s">
        <v>853</v>
      </c>
      <c r="B64" s="402">
        <f>'Admin Gen'!B68</f>
        <v>1896</v>
      </c>
      <c r="C64" s="402">
        <v>0</v>
      </c>
      <c r="D64" s="402">
        <f>DFC!U13</f>
        <v>2009.9686199999999</v>
      </c>
      <c r="E64" s="402">
        <v>0</v>
      </c>
      <c r="F64" s="402">
        <f>BRAVE!B68</f>
        <v>0</v>
      </c>
      <c r="G64" s="402">
        <f>BRAVE!C68</f>
        <v>7850</v>
      </c>
      <c r="H64" s="402">
        <v>0</v>
      </c>
      <c r="I64" s="402">
        <v>0</v>
      </c>
      <c r="J64" s="402">
        <v>0</v>
      </c>
      <c r="K64" s="402">
        <v>0</v>
      </c>
      <c r="L64" s="402">
        <v>0</v>
      </c>
      <c r="M64" s="402">
        <v>0</v>
      </c>
      <c r="N64" s="402">
        <v>0</v>
      </c>
      <c r="O64" s="402">
        <v>0</v>
      </c>
      <c r="P64" s="404">
        <f t="shared" si="10"/>
        <v>11755.96862</v>
      </c>
      <c r="Q64" s="404">
        <v>14419.98</v>
      </c>
      <c r="R64" s="466">
        <v>19871.32</v>
      </c>
    </row>
    <row r="65" spans="1:18" x14ac:dyDescent="0.25">
      <c r="A65" s="465" t="s">
        <v>854</v>
      </c>
      <c r="B65" s="402">
        <f>'Admin Gen'!B69</f>
        <v>0</v>
      </c>
      <c r="C65" s="402">
        <v>0</v>
      </c>
      <c r="D65" s="402">
        <f>DFC!U15</f>
        <v>2009.9686199999999</v>
      </c>
      <c r="E65" s="402">
        <v>0</v>
      </c>
      <c r="F65" s="402">
        <f>BRAVE!B69</f>
        <v>0</v>
      </c>
      <c r="G65" s="402">
        <f>BRAVE!C69</f>
        <v>0</v>
      </c>
      <c r="H65" s="402">
        <v>0</v>
      </c>
      <c r="I65" s="402">
        <v>0</v>
      </c>
      <c r="J65" s="402">
        <v>0</v>
      </c>
      <c r="K65" s="402">
        <v>0</v>
      </c>
      <c r="L65" s="402">
        <v>0</v>
      </c>
      <c r="M65" s="402">
        <v>0</v>
      </c>
      <c r="N65" s="402">
        <v>0</v>
      </c>
      <c r="O65" s="402">
        <v>0</v>
      </c>
      <c r="P65" s="404">
        <f t="shared" si="10"/>
        <v>2009.9686199999999</v>
      </c>
      <c r="Q65" s="404">
        <v>-1985.09</v>
      </c>
      <c r="R65" s="466">
        <v>0</v>
      </c>
    </row>
    <row r="66" spans="1:18" x14ac:dyDescent="0.25">
      <c r="A66" s="467" t="s">
        <v>816</v>
      </c>
      <c r="B66" s="405">
        <f t="shared" ref="B66:O66" si="13">SUM(B62:B65)</f>
        <v>2376</v>
      </c>
      <c r="C66" s="405">
        <f t="shared" si="13"/>
        <v>2964</v>
      </c>
      <c r="D66" s="405">
        <f t="shared" si="13"/>
        <v>5527.4137049999999</v>
      </c>
      <c r="E66" s="405">
        <f t="shared" si="13"/>
        <v>0</v>
      </c>
      <c r="F66" s="405">
        <f t="shared" si="13"/>
        <v>0</v>
      </c>
      <c r="G66" s="405">
        <f t="shared" si="13"/>
        <v>10850</v>
      </c>
      <c r="H66" s="405">
        <f t="shared" si="13"/>
        <v>11508.35</v>
      </c>
      <c r="I66" s="405">
        <f t="shared" si="13"/>
        <v>6177.83</v>
      </c>
      <c r="J66" s="405">
        <f t="shared" si="13"/>
        <v>6060.41</v>
      </c>
      <c r="K66" s="405">
        <f t="shared" si="13"/>
        <v>3832.31</v>
      </c>
      <c r="L66" s="405">
        <f t="shared" si="13"/>
        <v>2951</v>
      </c>
      <c r="M66" s="405">
        <f t="shared" si="13"/>
        <v>1560</v>
      </c>
      <c r="N66" s="405">
        <f t="shared" si="13"/>
        <v>0</v>
      </c>
      <c r="O66" s="405">
        <f t="shared" si="13"/>
        <v>0</v>
      </c>
      <c r="P66" s="405">
        <f t="shared" si="10"/>
        <v>53807.313704999993</v>
      </c>
      <c r="Q66" s="405">
        <v>18855.489999999998</v>
      </c>
      <c r="R66" s="468">
        <v>36616.480000000003</v>
      </c>
    </row>
    <row r="67" spans="1:18" x14ac:dyDescent="0.25">
      <c r="A67" s="463" t="s">
        <v>779</v>
      </c>
      <c r="B67" s="406">
        <f t="shared" ref="B67:O67" si="14">(((B52)+(B57))+(B61))+(B66)</f>
        <v>26000</v>
      </c>
      <c r="C67" s="406">
        <f t="shared" si="14"/>
        <v>37728</v>
      </c>
      <c r="D67" s="406">
        <f t="shared" si="14"/>
        <v>60374.43242325</v>
      </c>
      <c r="E67" s="406">
        <f t="shared" si="14"/>
        <v>0</v>
      </c>
      <c r="F67" s="406">
        <f t="shared" si="14"/>
        <v>0</v>
      </c>
      <c r="G67" s="406">
        <f t="shared" si="14"/>
        <v>125000</v>
      </c>
      <c r="H67" s="406">
        <f t="shared" si="14"/>
        <v>117395.04300000001</v>
      </c>
      <c r="I67" s="406">
        <f t="shared" si="14"/>
        <v>63019.183000000005</v>
      </c>
      <c r="J67" s="406">
        <f t="shared" si="14"/>
        <v>57703.742805000016</v>
      </c>
      <c r="K67" s="406">
        <f t="shared" si="14"/>
        <v>43567.001499999998</v>
      </c>
      <c r="L67" s="406">
        <f t="shared" si="14"/>
        <v>30940</v>
      </c>
      <c r="M67" s="406">
        <f t="shared" si="14"/>
        <v>23920</v>
      </c>
      <c r="N67" s="406">
        <f t="shared" si="14"/>
        <v>0</v>
      </c>
      <c r="O67" s="406">
        <f t="shared" si="14"/>
        <v>0</v>
      </c>
      <c r="P67" s="406">
        <f>SUM(P57+P61+P66)</f>
        <v>585647.40272825002</v>
      </c>
      <c r="Q67" s="406">
        <f>(((Q52)+(Q57))+(Q61))+(Q66)</f>
        <v>493324.69999999995</v>
      </c>
      <c r="R67" s="469">
        <f>(((R52)+(R57))+(R61))+(R66)</f>
        <v>434504</v>
      </c>
    </row>
    <row r="68" spans="1:18" x14ac:dyDescent="0.25">
      <c r="A68" s="470" t="s">
        <v>780</v>
      </c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71"/>
    </row>
    <row r="69" spans="1:18" x14ac:dyDescent="0.25">
      <c r="A69" s="472" t="s">
        <v>817</v>
      </c>
      <c r="B69" s="408">
        <f>'Admin Gen'!B72</f>
        <v>0</v>
      </c>
      <c r="C69" s="408">
        <f>'Admin Gen'!C72</f>
        <v>0</v>
      </c>
      <c r="D69" s="408">
        <f>'Admin Gen'!D72</f>
        <v>0</v>
      </c>
      <c r="E69" s="409">
        <v>28000</v>
      </c>
      <c r="F69" s="408">
        <f>'Admin Gen'!F72</f>
        <v>0</v>
      </c>
      <c r="G69" s="408">
        <f>'Admin Gen'!G72</f>
        <v>0</v>
      </c>
      <c r="H69" s="408">
        <f>'Admin Gen'!H72</f>
        <v>0</v>
      </c>
      <c r="I69" s="408">
        <f>'Admin Gen'!I72</f>
        <v>0</v>
      </c>
      <c r="J69" s="408">
        <f>'Admin Gen'!J72</f>
        <v>0</v>
      </c>
      <c r="K69" s="408">
        <f>'Admin Gen'!K72</f>
        <v>0</v>
      </c>
      <c r="L69" s="408">
        <f>'Admin Gen'!L72</f>
        <v>0</v>
      </c>
      <c r="M69" s="408">
        <f>'Admin Gen'!M72</f>
        <v>0</v>
      </c>
      <c r="N69" s="408">
        <f>'Admin Gen'!N72</f>
        <v>0</v>
      </c>
      <c r="O69" s="408">
        <f>'Admin Gen'!O72</f>
        <v>0</v>
      </c>
      <c r="P69" s="410">
        <f t="shared" ref="P69:P86" si="15">SUM(B69:O69)</f>
        <v>28000</v>
      </c>
      <c r="Q69" s="410">
        <v>36750</v>
      </c>
      <c r="R69" s="473">
        <v>30000</v>
      </c>
    </row>
    <row r="70" spans="1:18" x14ac:dyDescent="0.25">
      <c r="A70" s="472" t="s">
        <v>818</v>
      </c>
      <c r="B70" s="408">
        <f>'Admin Gen'!B73</f>
        <v>600</v>
      </c>
      <c r="C70" s="408">
        <f>'Admin Gen'!C73</f>
        <v>0</v>
      </c>
      <c r="D70" s="408">
        <f>'Admin Gen'!D73</f>
        <v>0</v>
      </c>
      <c r="E70" s="409">
        <v>28000</v>
      </c>
      <c r="F70" s="408">
        <f>'Admin Gen'!F73</f>
        <v>0</v>
      </c>
      <c r="G70" s="408">
        <f>'Admin Gen'!G73</f>
        <v>0</v>
      </c>
      <c r="H70" s="408">
        <f>'Admin Gen'!H73</f>
        <v>0</v>
      </c>
      <c r="I70" s="408">
        <f>'Admin Gen'!I73</f>
        <v>0</v>
      </c>
      <c r="J70" s="408">
        <f>'Admin Gen'!J73</f>
        <v>0</v>
      </c>
      <c r="K70" s="408">
        <f>'Admin Gen'!K73</f>
        <v>0</v>
      </c>
      <c r="L70" s="408">
        <f>'Admin Gen'!L73</f>
        <v>0</v>
      </c>
      <c r="M70" s="408">
        <f>'Admin Gen'!M73</f>
        <v>0</v>
      </c>
      <c r="N70" s="408">
        <f>'Admin Gen'!N73</f>
        <v>0</v>
      </c>
      <c r="O70" s="408">
        <f>'Admin Gen'!O73</f>
        <v>0</v>
      </c>
      <c r="P70" s="410">
        <f t="shared" si="15"/>
        <v>28600</v>
      </c>
      <c r="Q70" s="410">
        <v>30204.37</v>
      </c>
      <c r="R70" s="473">
        <v>30000</v>
      </c>
    </row>
    <row r="71" spans="1:18" x14ac:dyDescent="0.25">
      <c r="A71" s="472" t="s">
        <v>819</v>
      </c>
      <c r="B71" s="408">
        <f>'Admin Gen'!B74</f>
        <v>600</v>
      </c>
      <c r="C71" s="408">
        <f>'Admin Gen'!C74</f>
        <v>0</v>
      </c>
      <c r="D71" s="408">
        <f>'Admin Gen'!D74</f>
        <v>0</v>
      </c>
      <c r="E71" s="409">
        <v>28000</v>
      </c>
      <c r="F71" s="408">
        <f>'Admin Gen'!F74</f>
        <v>0</v>
      </c>
      <c r="G71" s="408">
        <f>'Admin Gen'!G74</f>
        <v>0</v>
      </c>
      <c r="H71" s="408">
        <f>'Admin Gen'!H74</f>
        <v>0</v>
      </c>
      <c r="I71" s="408">
        <f>'Admin Gen'!I74</f>
        <v>0</v>
      </c>
      <c r="J71" s="408">
        <f>'Admin Gen'!J74</f>
        <v>0</v>
      </c>
      <c r="K71" s="408">
        <f>'Admin Gen'!K74</f>
        <v>0</v>
      </c>
      <c r="L71" s="408">
        <f>'Admin Gen'!L74</f>
        <v>0</v>
      </c>
      <c r="M71" s="408">
        <f>'Admin Gen'!M74</f>
        <v>0</v>
      </c>
      <c r="N71" s="408">
        <f>'Admin Gen'!N74</f>
        <v>0</v>
      </c>
      <c r="O71" s="408">
        <f>'Admin Gen'!O74</f>
        <v>0</v>
      </c>
      <c r="P71" s="410">
        <f t="shared" si="15"/>
        <v>28600</v>
      </c>
      <c r="Q71" s="410">
        <v>47660</v>
      </c>
      <c r="R71" s="473">
        <v>30000</v>
      </c>
    </row>
    <row r="72" spans="1:18" ht="27" x14ac:dyDescent="0.25">
      <c r="A72" s="470" t="s">
        <v>781</v>
      </c>
      <c r="B72" s="411">
        <f t="shared" ref="B72:O72" si="16">SUM(B69:B71)</f>
        <v>1200</v>
      </c>
      <c r="C72" s="411">
        <f t="shared" si="16"/>
        <v>0</v>
      </c>
      <c r="D72" s="411">
        <f t="shared" si="16"/>
        <v>0</v>
      </c>
      <c r="E72" s="411">
        <f t="shared" si="16"/>
        <v>84000</v>
      </c>
      <c r="F72" s="411">
        <f t="shared" si="16"/>
        <v>0</v>
      </c>
      <c r="G72" s="411">
        <f t="shared" si="16"/>
        <v>0</v>
      </c>
      <c r="H72" s="411">
        <f t="shared" si="16"/>
        <v>0</v>
      </c>
      <c r="I72" s="411">
        <f t="shared" si="16"/>
        <v>0</v>
      </c>
      <c r="J72" s="411">
        <f t="shared" si="16"/>
        <v>0</v>
      </c>
      <c r="K72" s="411">
        <f t="shared" si="16"/>
        <v>0</v>
      </c>
      <c r="L72" s="411">
        <f t="shared" si="16"/>
        <v>0</v>
      </c>
      <c r="M72" s="411">
        <f t="shared" si="16"/>
        <v>0</v>
      </c>
      <c r="N72" s="411">
        <f t="shared" si="16"/>
        <v>0</v>
      </c>
      <c r="O72" s="411">
        <f t="shared" si="16"/>
        <v>0</v>
      </c>
      <c r="P72" s="411">
        <f t="shared" si="15"/>
        <v>85200</v>
      </c>
      <c r="Q72" s="411">
        <v>114614.37</v>
      </c>
      <c r="R72" s="474">
        <v>90000</v>
      </c>
    </row>
    <row r="73" spans="1:18" x14ac:dyDescent="0.25">
      <c r="A73" s="475" t="s">
        <v>782</v>
      </c>
      <c r="B73" s="412">
        <f>'Admin Gen'!B77</f>
        <v>0</v>
      </c>
      <c r="C73" s="412">
        <v>0</v>
      </c>
      <c r="D73" s="412">
        <v>0</v>
      </c>
      <c r="E73" s="412">
        <v>0</v>
      </c>
      <c r="F73" s="413">
        <f>BRAVE!B77</f>
        <v>500</v>
      </c>
      <c r="G73" s="412">
        <v>0</v>
      </c>
      <c r="H73" s="413">
        <f>CP!O56</f>
        <v>1419.94</v>
      </c>
      <c r="I73" s="412">
        <v>0</v>
      </c>
      <c r="J73" s="412">
        <v>0</v>
      </c>
      <c r="K73" s="412">
        <v>0</v>
      </c>
      <c r="L73" s="412">
        <v>0</v>
      </c>
      <c r="M73" s="413">
        <f>SSNEI!E13</f>
        <v>6287.5</v>
      </c>
      <c r="N73" s="412">
        <v>0</v>
      </c>
      <c r="O73" s="412">
        <v>0</v>
      </c>
      <c r="P73" s="414">
        <f t="shared" si="15"/>
        <v>8207.44</v>
      </c>
      <c r="Q73" s="414">
        <v>4309.26</v>
      </c>
      <c r="R73" s="476">
        <v>1100</v>
      </c>
    </row>
    <row r="74" spans="1:18" x14ac:dyDescent="0.25">
      <c r="A74" s="477" t="s">
        <v>783</v>
      </c>
      <c r="B74" s="415">
        <f>'Admin Gen'!B78</f>
        <v>5000</v>
      </c>
      <c r="C74" s="415">
        <v>0</v>
      </c>
      <c r="D74" s="415">
        <v>0</v>
      </c>
      <c r="E74" s="415">
        <v>0</v>
      </c>
      <c r="F74" s="416">
        <f>BRAVE!B78</f>
        <v>300</v>
      </c>
      <c r="G74" s="415">
        <v>0</v>
      </c>
      <c r="H74" s="415">
        <v>0</v>
      </c>
      <c r="I74" s="415">
        <v>0</v>
      </c>
      <c r="J74" s="415">
        <v>0</v>
      </c>
      <c r="K74" s="415">
        <v>0</v>
      </c>
      <c r="L74" s="415">
        <v>0</v>
      </c>
      <c r="M74" s="415">
        <v>0</v>
      </c>
      <c r="N74" s="415">
        <v>0</v>
      </c>
      <c r="O74" s="415">
        <v>0</v>
      </c>
      <c r="P74" s="417">
        <f t="shared" si="15"/>
        <v>5300</v>
      </c>
      <c r="Q74" s="417">
        <v>3548.6099999999992</v>
      </c>
      <c r="R74" s="478">
        <v>300</v>
      </c>
    </row>
    <row r="75" spans="1:18" x14ac:dyDescent="0.25">
      <c r="A75" s="477" t="s">
        <v>784</v>
      </c>
      <c r="B75" s="415">
        <f>'Admin Gen'!B79</f>
        <v>19635.903419999999</v>
      </c>
      <c r="C75" s="415">
        <v>0</v>
      </c>
      <c r="D75" s="416">
        <f>DFC!U14</f>
        <v>2009.9686199999999</v>
      </c>
      <c r="E75" s="415">
        <v>0</v>
      </c>
      <c r="F75" s="416">
        <f>BRAVE!B79</f>
        <v>500</v>
      </c>
      <c r="G75" s="415">
        <v>0</v>
      </c>
      <c r="H75" s="415">
        <v>0</v>
      </c>
      <c r="I75" s="415">
        <v>0</v>
      </c>
      <c r="J75" s="415">
        <v>0</v>
      </c>
      <c r="K75" s="415">
        <v>0</v>
      </c>
      <c r="L75" s="415">
        <v>0</v>
      </c>
      <c r="M75" s="415">
        <v>0</v>
      </c>
      <c r="N75" s="415">
        <v>0</v>
      </c>
      <c r="O75" s="415">
        <v>0</v>
      </c>
      <c r="P75" s="417">
        <f t="shared" si="15"/>
        <v>22145.872039999998</v>
      </c>
      <c r="Q75" s="417">
        <v>0</v>
      </c>
      <c r="R75" s="478">
        <v>0</v>
      </c>
    </row>
    <row r="76" spans="1:18" x14ac:dyDescent="0.25">
      <c r="A76" s="479" t="s">
        <v>785</v>
      </c>
      <c r="B76" s="418">
        <v>0</v>
      </c>
      <c r="C76" s="418">
        <v>0</v>
      </c>
      <c r="D76" s="418">
        <v>0</v>
      </c>
      <c r="E76" s="418">
        <v>0</v>
      </c>
      <c r="F76" s="418">
        <f>BRAVE!B80</f>
        <v>0</v>
      </c>
      <c r="G76" s="418">
        <v>0</v>
      </c>
      <c r="H76" s="418">
        <f>CP!O54</f>
        <v>4055.2</v>
      </c>
      <c r="I76" s="418">
        <f>OA!I72+OA!I132+OA!I298</f>
        <v>4547.24</v>
      </c>
      <c r="J76" s="418">
        <f>HWC!E16</f>
        <v>6064.43</v>
      </c>
      <c r="K76" s="418">
        <v>0</v>
      </c>
      <c r="L76" s="418">
        <f>MM!E21</f>
        <v>4300</v>
      </c>
      <c r="M76" s="418">
        <f>SSNEI!E14</f>
        <v>792</v>
      </c>
      <c r="N76" s="418">
        <v>0</v>
      </c>
      <c r="O76" s="418">
        <v>0</v>
      </c>
      <c r="P76" s="419">
        <f t="shared" si="15"/>
        <v>19758.87</v>
      </c>
      <c r="Q76" s="419">
        <v>645.15000000000009</v>
      </c>
      <c r="R76" s="480">
        <v>1250.8599999999999</v>
      </c>
    </row>
    <row r="77" spans="1:18" x14ac:dyDescent="0.25">
      <c r="A77" s="479" t="s">
        <v>820</v>
      </c>
      <c r="B77" s="418">
        <f>'Admin Gen'!B81</f>
        <v>1500</v>
      </c>
      <c r="C77" s="418">
        <v>0</v>
      </c>
      <c r="D77" s="418">
        <v>0</v>
      </c>
      <c r="E77" s="418">
        <v>0</v>
      </c>
      <c r="F77" s="418">
        <f>BRAVE!B81</f>
        <v>800</v>
      </c>
      <c r="G77" s="418">
        <v>0</v>
      </c>
      <c r="H77" s="418">
        <v>0</v>
      </c>
      <c r="I77" s="418">
        <v>0</v>
      </c>
      <c r="J77" s="418">
        <v>0</v>
      </c>
      <c r="K77" s="418">
        <v>0</v>
      </c>
      <c r="L77" s="418">
        <v>0</v>
      </c>
      <c r="M77" s="418">
        <v>0</v>
      </c>
      <c r="N77" s="418">
        <v>0</v>
      </c>
      <c r="O77" s="418">
        <v>0</v>
      </c>
      <c r="P77" s="419">
        <f t="shared" si="15"/>
        <v>2300</v>
      </c>
      <c r="Q77" s="419">
        <v>2</v>
      </c>
      <c r="R77" s="480">
        <v>0</v>
      </c>
    </row>
    <row r="78" spans="1:18" x14ac:dyDescent="0.25">
      <c r="A78" s="479" t="s">
        <v>821</v>
      </c>
      <c r="B78" s="418">
        <v>0</v>
      </c>
      <c r="C78" s="420">
        <f>'BSF Award'!E24</f>
        <v>500</v>
      </c>
      <c r="D78" s="418">
        <f>DFC!AQ10/12*9</f>
        <v>68.399999999999991</v>
      </c>
      <c r="E78" s="418">
        <v>0</v>
      </c>
      <c r="F78" s="418">
        <f>BRAVE!B82</f>
        <v>1080</v>
      </c>
      <c r="G78" s="418">
        <v>0</v>
      </c>
      <c r="H78" s="418">
        <v>0</v>
      </c>
      <c r="I78" s="418">
        <v>0</v>
      </c>
      <c r="J78" s="418">
        <v>0</v>
      </c>
      <c r="K78" s="418">
        <v>0</v>
      </c>
      <c r="L78" s="418">
        <v>0</v>
      </c>
      <c r="M78" s="418">
        <v>0</v>
      </c>
      <c r="N78" s="418">
        <v>0</v>
      </c>
      <c r="O78" s="418">
        <v>0</v>
      </c>
      <c r="P78" s="419">
        <f t="shared" si="15"/>
        <v>1648.4</v>
      </c>
      <c r="Q78" s="419">
        <v>1196.7799999999997</v>
      </c>
      <c r="R78" s="480">
        <v>2088.8000000000002</v>
      </c>
    </row>
    <row r="79" spans="1:18" ht="27" x14ac:dyDescent="0.25">
      <c r="A79" s="479" t="s">
        <v>822</v>
      </c>
      <c r="B79" s="418">
        <v>0</v>
      </c>
      <c r="C79" s="420">
        <f>'BSF Award'!E25</f>
        <v>3000</v>
      </c>
      <c r="D79" s="420">
        <f>DFC!AQ18/12*9</f>
        <v>4227.75</v>
      </c>
      <c r="E79" s="418">
        <v>0</v>
      </c>
      <c r="F79" s="420">
        <f>BRAVE!B83</f>
        <v>4500</v>
      </c>
      <c r="G79" s="418">
        <v>0</v>
      </c>
      <c r="H79" s="420">
        <v>2000</v>
      </c>
      <c r="I79" s="418">
        <v>0</v>
      </c>
      <c r="J79" s="418">
        <v>0</v>
      </c>
      <c r="K79" s="418">
        <v>0</v>
      </c>
      <c r="L79" s="418">
        <v>0</v>
      </c>
      <c r="M79" s="418">
        <v>0</v>
      </c>
      <c r="N79" s="418">
        <v>0</v>
      </c>
      <c r="O79" s="418">
        <v>0</v>
      </c>
      <c r="P79" s="419">
        <f t="shared" si="15"/>
        <v>13727.75</v>
      </c>
      <c r="Q79" s="419">
        <v>31913.589999999997</v>
      </c>
      <c r="R79" s="480">
        <v>8048.5</v>
      </c>
    </row>
    <row r="80" spans="1:18" x14ac:dyDescent="0.25">
      <c r="A80" s="481" t="s">
        <v>786</v>
      </c>
      <c r="B80" s="421">
        <f t="shared" ref="B80:J80" si="17">SUM(B76:B79)</f>
        <v>1500</v>
      </c>
      <c r="C80" s="421">
        <f t="shared" si="17"/>
        <v>3500</v>
      </c>
      <c r="D80" s="421">
        <f t="shared" si="17"/>
        <v>4296.1499999999996</v>
      </c>
      <c r="E80" s="421">
        <f t="shared" si="17"/>
        <v>0</v>
      </c>
      <c r="F80" s="421">
        <f t="shared" si="17"/>
        <v>6380</v>
      </c>
      <c r="G80" s="421">
        <f t="shared" si="17"/>
        <v>0</v>
      </c>
      <c r="H80" s="421">
        <f t="shared" si="17"/>
        <v>6055.2</v>
      </c>
      <c r="I80" s="421">
        <f t="shared" si="17"/>
        <v>4547.24</v>
      </c>
      <c r="J80" s="421">
        <f t="shared" si="17"/>
        <v>6064.43</v>
      </c>
      <c r="K80" s="421">
        <f>(((K76)+(K77))+(K78))+(K79)</f>
        <v>0</v>
      </c>
      <c r="L80" s="421">
        <f>(((L76)+(L77))+(L78))+(L79)</f>
        <v>4300</v>
      </c>
      <c r="M80" s="421">
        <f>SUM(M76:M79)</f>
        <v>792</v>
      </c>
      <c r="N80" s="421">
        <f>SUM(N76:N79)</f>
        <v>0</v>
      </c>
      <c r="O80" s="421">
        <f>SUM(O76:O79)</f>
        <v>0</v>
      </c>
      <c r="P80" s="421">
        <f t="shared" si="15"/>
        <v>37435.019999999997</v>
      </c>
      <c r="Q80" s="421">
        <v>33757.520000000004</v>
      </c>
      <c r="R80" s="482">
        <v>11388.16</v>
      </c>
    </row>
    <row r="81" spans="1:18" x14ac:dyDescent="0.25">
      <c r="A81" s="483" t="s">
        <v>787</v>
      </c>
      <c r="B81" s="422">
        <f>'Admin Gen'!B85</f>
        <v>0</v>
      </c>
      <c r="C81" s="422">
        <v>0</v>
      </c>
      <c r="D81" s="422">
        <v>0</v>
      </c>
      <c r="E81" s="422">
        <v>0</v>
      </c>
      <c r="F81" s="422">
        <f>BRAVE!B85</f>
        <v>0</v>
      </c>
      <c r="G81" s="422">
        <v>0</v>
      </c>
      <c r="H81" s="422">
        <v>0</v>
      </c>
      <c r="I81" s="422">
        <v>0</v>
      </c>
      <c r="J81" s="422">
        <v>0</v>
      </c>
      <c r="K81" s="422">
        <v>0</v>
      </c>
      <c r="L81" s="422">
        <f>MM!E20</f>
        <v>10800</v>
      </c>
      <c r="M81" s="422">
        <v>0</v>
      </c>
      <c r="N81" s="422">
        <v>0</v>
      </c>
      <c r="O81" s="422">
        <v>0</v>
      </c>
      <c r="P81" s="423">
        <f t="shared" si="15"/>
        <v>10800</v>
      </c>
      <c r="Q81" s="423">
        <v>27224.57</v>
      </c>
      <c r="R81" s="484">
        <v>26593.1</v>
      </c>
    </row>
    <row r="82" spans="1:18" x14ac:dyDescent="0.25">
      <c r="A82" s="483" t="s">
        <v>823</v>
      </c>
      <c r="B82" s="422">
        <f>'Admin Gen'!B86</f>
        <v>500</v>
      </c>
      <c r="C82" s="422">
        <f>'BSF Award'!E27</f>
        <v>600</v>
      </c>
      <c r="D82" s="422">
        <v>0</v>
      </c>
      <c r="E82" s="422">
        <v>0</v>
      </c>
      <c r="F82" s="422">
        <f>BRAVE!B86</f>
        <v>600</v>
      </c>
      <c r="G82" s="422">
        <v>0</v>
      </c>
      <c r="H82" s="422">
        <v>0</v>
      </c>
      <c r="I82" s="422">
        <f>OA!I42+OA!I104+OA!I270</f>
        <v>960</v>
      </c>
      <c r="J82" s="422">
        <v>0</v>
      </c>
      <c r="K82" s="422">
        <v>0</v>
      </c>
      <c r="L82" s="422">
        <v>0</v>
      </c>
      <c r="M82" s="422">
        <v>0</v>
      </c>
      <c r="N82" s="424"/>
      <c r="O82" s="422">
        <v>0</v>
      </c>
      <c r="P82" s="423">
        <f t="shared" si="15"/>
        <v>2660</v>
      </c>
      <c r="Q82" s="423">
        <v>19280.509999999998</v>
      </c>
      <c r="R82" s="484">
        <v>396</v>
      </c>
    </row>
    <row r="83" spans="1:18" x14ac:dyDescent="0.25">
      <c r="A83" s="483" t="s">
        <v>824</v>
      </c>
      <c r="B83" s="422">
        <f>'Admin Gen'!B87</f>
        <v>800</v>
      </c>
      <c r="C83" s="424">
        <f>'BSF Award'!E26</f>
        <v>1000</v>
      </c>
      <c r="D83" s="424">
        <f>DFC!AD14/12*9</f>
        <v>2250</v>
      </c>
      <c r="E83" s="422">
        <v>0</v>
      </c>
      <c r="F83" s="422">
        <f>BRAVE!B87</f>
        <v>150</v>
      </c>
      <c r="G83" s="422">
        <v>0</v>
      </c>
      <c r="H83" s="422">
        <v>0</v>
      </c>
      <c r="I83" s="422">
        <v>0</v>
      </c>
      <c r="J83" s="422">
        <v>0</v>
      </c>
      <c r="K83" s="422">
        <v>0</v>
      </c>
      <c r="L83" s="422">
        <v>0</v>
      </c>
      <c r="M83" s="422">
        <v>0</v>
      </c>
      <c r="N83" s="424">
        <v>2500</v>
      </c>
      <c r="O83" s="422">
        <v>0</v>
      </c>
      <c r="P83" s="423">
        <f t="shared" si="15"/>
        <v>6700</v>
      </c>
      <c r="Q83" s="423">
        <v>4998.03</v>
      </c>
      <c r="R83" s="484">
        <v>0</v>
      </c>
    </row>
    <row r="84" spans="1:18" x14ac:dyDescent="0.25">
      <c r="A84" s="483" t="s">
        <v>825</v>
      </c>
      <c r="B84" s="422">
        <f>'Admin Gen'!B88</f>
        <v>500</v>
      </c>
      <c r="C84" s="422">
        <v>0</v>
      </c>
      <c r="D84" s="422">
        <v>0</v>
      </c>
      <c r="E84" s="422">
        <v>0</v>
      </c>
      <c r="F84" s="422">
        <f>BRAVE!B88</f>
        <v>150</v>
      </c>
      <c r="G84" s="422">
        <v>0</v>
      </c>
      <c r="H84" s="422">
        <v>0</v>
      </c>
      <c r="I84" s="422">
        <v>0</v>
      </c>
      <c r="J84" s="422">
        <v>0</v>
      </c>
      <c r="K84" s="422">
        <v>0</v>
      </c>
      <c r="L84" s="422">
        <v>0</v>
      </c>
      <c r="M84" s="422">
        <v>0</v>
      </c>
      <c r="N84" s="422">
        <v>0</v>
      </c>
      <c r="O84" s="422">
        <v>0</v>
      </c>
      <c r="P84" s="423">
        <f t="shared" si="15"/>
        <v>650</v>
      </c>
      <c r="Q84" s="423">
        <v>1690.3</v>
      </c>
      <c r="R84" s="484">
        <v>500</v>
      </c>
    </row>
    <row r="85" spans="1:18" x14ac:dyDescent="0.25">
      <c r="A85" s="483" t="s">
        <v>826</v>
      </c>
      <c r="B85" s="422">
        <f>'Admin Gen'!B89</f>
        <v>300</v>
      </c>
      <c r="C85" s="422">
        <f>'BSF Award'!E28</f>
        <v>5370</v>
      </c>
      <c r="D85" s="422">
        <f>DFC!AD13/12*9</f>
        <v>3375</v>
      </c>
      <c r="E85" s="422">
        <v>0</v>
      </c>
      <c r="F85" s="422">
        <f>BRAVE!B89</f>
        <v>500</v>
      </c>
      <c r="G85" s="422">
        <v>0</v>
      </c>
      <c r="H85" s="422">
        <f>CP!O36</f>
        <v>22137.7</v>
      </c>
      <c r="I85" s="424">
        <f>OA!I39+OA!I267+OA!I101</f>
        <v>14646</v>
      </c>
      <c r="J85" s="422">
        <v>0</v>
      </c>
      <c r="K85" s="422">
        <v>0</v>
      </c>
      <c r="L85" s="422">
        <v>0</v>
      </c>
      <c r="M85" s="422">
        <v>0</v>
      </c>
      <c r="N85" s="424">
        <v>600</v>
      </c>
      <c r="O85" s="422">
        <v>0</v>
      </c>
      <c r="P85" s="423">
        <f t="shared" si="15"/>
        <v>46928.7</v>
      </c>
      <c r="Q85" s="423">
        <v>11347.109999999999</v>
      </c>
      <c r="R85" s="484">
        <v>11000</v>
      </c>
    </row>
    <row r="86" spans="1:18" x14ac:dyDescent="0.25">
      <c r="A86" s="485" t="s">
        <v>788</v>
      </c>
      <c r="B86" s="425">
        <f t="shared" ref="B86:O86" si="18">SUM(B81:B85)</f>
        <v>2100</v>
      </c>
      <c r="C86" s="425">
        <f t="shared" si="18"/>
        <v>6970</v>
      </c>
      <c r="D86" s="425">
        <f t="shared" si="18"/>
        <v>5625</v>
      </c>
      <c r="E86" s="425">
        <f t="shared" si="18"/>
        <v>0</v>
      </c>
      <c r="F86" s="425">
        <f t="shared" si="18"/>
        <v>1400</v>
      </c>
      <c r="G86" s="425">
        <f t="shared" si="18"/>
        <v>0</v>
      </c>
      <c r="H86" s="425">
        <f t="shared" si="18"/>
        <v>22137.7</v>
      </c>
      <c r="I86" s="425">
        <f t="shared" si="18"/>
        <v>15606</v>
      </c>
      <c r="J86" s="425">
        <f t="shared" si="18"/>
        <v>0</v>
      </c>
      <c r="K86" s="425">
        <f t="shared" si="18"/>
        <v>0</v>
      </c>
      <c r="L86" s="425">
        <f t="shared" si="18"/>
        <v>10800</v>
      </c>
      <c r="M86" s="425">
        <f t="shared" si="18"/>
        <v>0</v>
      </c>
      <c r="N86" s="425">
        <f t="shared" si="18"/>
        <v>3100</v>
      </c>
      <c r="O86" s="425">
        <f t="shared" si="18"/>
        <v>0</v>
      </c>
      <c r="P86" s="425">
        <f t="shared" si="15"/>
        <v>67738.7</v>
      </c>
      <c r="Q86" s="425">
        <v>64540.51999999999</v>
      </c>
      <c r="R86" s="486">
        <v>38489.1</v>
      </c>
    </row>
    <row r="87" spans="1:18" x14ac:dyDescent="0.25">
      <c r="A87" s="487" t="s">
        <v>757</v>
      </c>
      <c r="B87" s="426"/>
      <c r="C87" s="426"/>
      <c r="D87" s="427"/>
      <c r="E87" s="427"/>
      <c r="F87" s="427"/>
      <c r="G87" s="427"/>
      <c r="H87" s="427"/>
      <c r="I87" s="427"/>
      <c r="J87" s="426"/>
      <c r="K87" s="426"/>
      <c r="L87" s="427"/>
      <c r="M87" s="427"/>
      <c r="N87" s="427"/>
      <c r="O87" s="427"/>
      <c r="P87" s="427"/>
      <c r="Q87" s="427">
        <v>14970.73</v>
      </c>
      <c r="R87" s="488">
        <v>500</v>
      </c>
    </row>
    <row r="88" spans="1:18" x14ac:dyDescent="0.25">
      <c r="A88" s="489" t="s">
        <v>827</v>
      </c>
      <c r="B88" s="428">
        <f>'Admin Gen'!B90</f>
        <v>2100</v>
      </c>
      <c r="C88" s="428">
        <f>'BSF Award'!E30</f>
        <v>1350</v>
      </c>
      <c r="D88" s="428">
        <f>DFC!AJ14/12*3</f>
        <v>1080.25</v>
      </c>
      <c r="E88" s="428">
        <v>0</v>
      </c>
      <c r="F88" s="428">
        <f>BRAVE!B92</f>
        <v>1000</v>
      </c>
      <c r="G88" s="428">
        <f>BRAVE!C92</f>
        <v>12600</v>
      </c>
      <c r="H88" s="428">
        <v>0</v>
      </c>
      <c r="I88" s="428">
        <f>OA!I52</f>
        <v>2000</v>
      </c>
      <c r="J88" s="428">
        <v>0</v>
      </c>
      <c r="K88" s="428">
        <v>0</v>
      </c>
      <c r="L88" s="428">
        <v>0</v>
      </c>
      <c r="M88" s="428">
        <v>0</v>
      </c>
      <c r="N88" s="429">
        <v>1000</v>
      </c>
      <c r="O88" s="428">
        <v>0</v>
      </c>
      <c r="P88" s="429">
        <f t="shared" ref="P88:P99" si="19">SUM(B88:O88)</f>
        <v>21130.25</v>
      </c>
      <c r="Q88" s="429">
        <v>7455.85</v>
      </c>
      <c r="R88" s="490">
        <v>11615.61</v>
      </c>
    </row>
    <row r="89" spans="1:18" x14ac:dyDescent="0.25">
      <c r="A89" s="489" t="s">
        <v>828</v>
      </c>
      <c r="B89" s="428">
        <f>'Admin Gen'!B91</f>
        <v>0</v>
      </c>
      <c r="C89" s="428">
        <v>0</v>
      </c>
      <c r="D89" s="428">
        <v>0</v>
      </c>
      <c r="E89" s="428">
        <v>0</v>
      </c>
      <c r="F89" s="428">
        <f>BRAVE!B93</f>
        <v>500</v>
      </c>
      <c r="G89" s="428">
        <v>0</v>
      </c>
      <c r="H89" s="428">
        <v>0</v>
      </c>
      <c r="I89" s="428">
        <f>OA!I51</f>
        <v>1440</v>
      </c>
      <c r="J89" s="428">
        <v>0</v>
      </c>
      <c r="K89" s="428">
        <v>0</v>
      </c>
      <c r="L89" s="428">
        <v>0</v>
      </c>
      <c r="M89" s="428">
        <v>0</v>
      </c>
      <c r="N89" s="428">
        <v>0</v>
      </c>
      <c r="O89" s="428">
        <v>0</v>
      </c>
      <c r="P89" s="429">
        <f t="shared" si="19"/>
        <v>1940</v>
      </c>
      <c r="Q89" s="429">
        <v>0</v>
      </c>
      <c r="R89" s="490">
        <v>9900</v>
      </c>
    </row>
    <row r="90" spans="1:18" x14ac:dyDescent="0.25">
      <c r="A90" s="489" t="s">
        <v>829</v>
      </c>
      <c r="B90" s="428">
        <f>'Admin Gen'!B92</f>
        <v>600</v>
      </c>
      <c r="C90" s="428">
        <v>0</v>
      </c>
      <c r="D90" s="428">
        <v>0</v>
      </c>
      <c r="E90" s="428">
        <v>0</v>
      </c>
      <c r="F90" s="428">
        <f>BRAVE!B94</f>
        <v>500</v>
      </c>
      <c r="G90" s="428">
        <v>0</v>
      </c>
      <c r="H90" s="428">
        <v>0</v>
      </c>
      <c r="I90" s="428">
        <f>OA!I49</f>
        <v>1440</v>
      </c>
      <c r="J90" s="428">
        <v>0</v>
      </c>
      <c r="K90" s="428">
        <v>0</v>
      </c>
      <c r="L90" s="428">
        <v>0</v>
      </c>
      <c r="M90" s="428">
        <v>0</v>
      </c>
      <c r="N90" s="428">
        <v>0</v>
      </c>
      <c r="O90" s="428">
        <v>0</v>
      </c>
      <c r="P90" s="429">
        <f t="shared" si="19"/>
        <v>2540</v>
      </c>
      <c r="Q90" s="429">
        <v>1164.07</v>
      </c>
      <c r="R90" s="490">
        <v>0</v>
      </c>
    </row>
    <row r="91" spans="1:18" x14ac:dyDescent="0.25">
      <c r="A91" s="489" t="s">
        <v>830</v>
      </c>
      <c r="B91" s="428">
        <f>'Admin Gen'!B93</f>
        <v>600</v>
      </c>
      <c r="C91" s="428">
        <f>'BSF Award'!E29</f>
        <v>1500</v>
      </c>
      <c r="D91" s="428">
        <v>0</v>
      </c>
      <c r="E91" s="428">
        <v>0</v>
      </c>
      <c r="F91" s="428">
        <f>BRAVE!B95</f>
        <v>2500</v>
      </c>
      <c r="G91" s="428">
        <v>0</v>
      </c>
      <c r="H91" s="428">
        <v>0</v>
      </c>
      <c r="I91" s="428">
        <v>0</v>
      </c>
      <c r="J91" s="428">
        <v>0</v>
      </c>
      <c r="K91" s="428">
        <v>0</v>
      </c>
      <c r="L91" s="428">
        <v>0</v>
      </c>
      <c r="M91" s="428">
        <v>0</v>
      </c>
      <c r="N91" s="428">
        <v>0</v>
      </c>
      <c r="O91" s="428">
        <v>0</v>
      </c>
      <c r="P91" s="429">
        <f t="shared" si="19"/>
        <v>4600</v>
      </c>
      <c r="Q91" s="429">
        <v>623.59</v>
      </c>
      <c r="R91" s="490">
        <v>0</v>
      </c>
    </row>
    <row r="92" spans="1:18" x14ac:dyDescent="0.25">
      <c r="A92" s="487" t="s">
        <v>789</v>
      </c>
      <c r="B92" s="430">
        <f t="shared" ref="B92:O92" si="20">SUM(B87:B91)</f>
        <v>3300</v>
      </c>
      <c r="C92" s="430">
        <f t="shared" si="20"/>
        <v>2850</v>
      </c>
      <c r="D92" s="430">
        <f t="shared" si="20"/>
        <v>1080.25</v>
      </c>
      <c r="E92" s="430">
        <f t="shared" si="20"/>
        <v>0</v>
      </c>
      <c r="F92" s="430">
        <f t="shared" si="20"/>
        <v>4500</v>
      </c>
      <c r="G92" s="430">
        <f t="shared" si="20"/>
        <v>12600</v>
      </c>
      <c r="H92" s="430">
        <f t="shared" si="20"/>
        <v>0</v>
      </c>
      <c r="I92" s="430">
        <f t="shared" si="20"/>
        <v>4880</v>
      </c>
      <c r="J92" s="430">
        <f t="shared" si="20"/>
        <v>0</v>
      </c>
      <c r="K92" s="430">
        <f t="shared" si="20"/>
        <v>0</v>
      </c>
      <c r="L92" s="430">
        <f t="shared" si="20"/>
        <v>0</v>
      </c>
      <c r="M92" s="430">
        <f t="shared" si="20"/>
        <v>0</v>
      </c>
      <c r="N92" s="430">
        <f t="shared" si="20"/>
        <v>1000</v>
      </c>
      <c r="O92" s="430">
        <f t="shared" si="20"/>
        <v>0</v>
      </c>
      <c r="P92" s="430">
        <f t="shared" si="19"/>
        <v>30210.25</v>
      </c>
      <c r="Q92" s="430">
        <f>SUM(Q87:Q91)</f>
        <v>24214.240000000002</v>
      </c>
      <c r="R92" s="491">
        <f>SUM(R87:R91)</f>
        <v>22015.61</v>
      </c>
    </row>
    <row r="93" spans="1:18" x14ac:dyDescent="0.25">
      <c r="A93" s="492" t="s">
        <v>790</v>
      </c>
      <c r="B93" s="431">
        <f>'Admin Gen'!B97</f>
        <v>0</v>
      </c>
      <c r="C93" s="431">
        <v>0</v>
      </c>
      <c r="D93" s="431">
        <v>0</v>
      </c>
      <c r="E93" s="431">
        <v>0</v>
      </c>
      <c r="F93" s="431">
        <f>BRAVE!B97</f>
        <v>0</v>
      </c>
      <c r="G93" s="431">
        <v>0</v>
      </c>
      <c r="H93" s="431">
        <v>0</v>
      </c>
      <c r="I93" s="431">
        <v>0</v>
      </c>
      <c r="J93" s="431">
        <v>0</v>
      </c>
      <c r="K93" s="431">
        <v>0</v>
      </c>
      <c r="L93" s="431">
        <v>0</v>
      </c>
      <c r="M93" s="431">
        <v>0</v>
      </c>
      <c r="N93" s="431">
        <v>0</v>
      </c>
      <c r="O93" s="431">
        <v>0</v>
      </c>
      <c r="P93" s="432">
        <f t="shared" si="19"/>
        <v>0</v>
      </c>
      <c r="Q93" s="432">
        <v>6535.45</v>
      </c>
      <c r="R93" s="493">
        <v>24618.690000000002</v>
      </c>
    </row>
    <row r="94" spans="1:18" x14ac:dyDescent="0.25">
      <c r="A94" s="492" t="s">
        <v>831</v>
      </c>
      <c r="B94" s="431">
        <f>'Admin Gen'!B98</f>
        <v>604.80000000000007</v>
      </c>
      <c r="C94" s="431">
        <v>0</v>
      </c>
      <c r="D94" s="431">
        <f>(DFC!AJ11+DFC!AJ12)/12*9</f>
        <v>170.625</v>
      </c>
      <c r="E94" s="431">
        <v>0</v>
      </c>
      <c r="F94" s="431">
        <f>BRAVE!B98</f>
        <v>1000</v>
      </c>
      <c r="G94" s="431">
        <v>0</v>
      </c>
      <c r="H94" s="431">
        <f>CP!O43</f>
        <v>163.88000000000002</v>
      </c>
      <c r="I94" s="431">
        <v>0</v>
      </c>
      <c r="J94" s="431">
        <v>0</v>
      </c>
      <c r="K94" s="431">
        <v>0</v>
      </c>
      <c r="L94" s="431">
        <v>0</v>
      </c>
      <c r="M94" s="431">
        <v>0</v>
      </c>
      <c r="N94" s="431">
        <v>0</v>
      </c>
      <c r="O94" s="431">
        <v>0</v>
      </c>
      <c r="P94" s="432">
        <f t="shared" si="19"/>
        <v>1939.3050000000003</v>
      </c>
      <c r="Q94" s="432">
        <v>0</v>
      </c>
      <c r="R94" s="493">
        <v>577.5</v>
      </c>
    </row>
    <row r="95" spans="1:18" x14ac:dyDescent="0.25">
      <c r="A95" s="492" t="s">
        <v>832</v>
      </c>
      <c r="B95" s="431">
        <f>'Admin Gen'!B99</f>
        <v>1000</v>
      </c>
      <c r="C95" s="431">
        <v>0</v>
      </c>
      <c r="D95" s="433">
        <f>DFC!AU13</f>
        <v>500</v>
      </c>
      <c r="E95" s="431">
        <v>0</v>
      </c>
      <c r="F95" s="431">
        <f>BRAVE!B99</f>
        <v>2990</v>
      </c>
      <c r="G95" s="431">
        <v>0</v>
      </c>
      <c r="H95" s="431">
        <v>0</v>
      </c>
      <c r="I95" s="433">
        <f>OA!I306+OA!I140+OA!I80</f>
        <v>400</v>
      </c>
      <c r="J95" s="431">
        <v>0</v>
      </c>
      <c r="K95" s="431">
        <v>0</v>
      </c>
      <c r="L95" s="431">
        <v>0</v>
      </c>
      <c r="M95" s="431">
        <v>0</v>
      </c>
      <c r="N95" s="431">
        <v>0</v>
      </c>
      <c r="O95" s="431">
        <v>0</v>
      </c>
      <c r="P95" s="432">
        <f t="shared" si="19"/>
        <v>4890</v>
      </c>
      <c r="Q95" s="432">
        <v>2815.7199999999993</v>
      </c>
      <c r="R95" s="493">
        <v>1000</v>
      </c>
    </row>
    <row r="96" spans="1:18" x14ac:dyDescent="0.25">
      <c r="A96" s="492" t="s">
        <v>833</v>
      </c>
      <c r="B96" s="431">
        <f>'Admin Gen'!B100</f>
        <v>1000</v>
      </c>
      <c r="C96" s="431">
        <f>'BSF Award'!E31</f>
        <v>700</v>
      </c>
      <c r="D96" s="433">
        <f>DFC!AJ9/12*9</f>
        <v>2250</v>
      </c>
      <c r="E96" s="431">
        <v>0</v>
      </c>
      <c r="F96" s="431">
        <f>BRAVE!B100</f>
        <v>330</v>
      </c>
      <c r="G96" s="431">
        <v>0</v>
      </c>
      <c r="H96" s="433">
        <f>CP!O42</f>
        <v>2022.66</v>
      </c>
      <c r="I96" s="433">
        <f>OA!I77+OA!I137+OA!I303</f>
        <v>1903.6800000000003</v>
      </c>
      <c r="J96" s="433">
        <f>HWC!E13</f>
        <v>5097.4000000000015</v>
      </c>
      <c r="K96" s="431">
        <v>0</v>
      </c>
      <c r="L96" s="431">
        <f>MM!E18</f>
        <v>6400</v>
      </c>
      <c r="M96" s="431">
        <f>SSNEI!E12</f>
        <v>1000</v>
      </c>
      <c r="N96" s="431">
        <v>0</v>
      </c>
      <c r="O96" s="431">
        <v>0</v>
      </c>
      <c r="P96" s="432">
        <f t="shared" si="19"/>
        <v>20703.740000000002</v>
      </c>
      <c r="Q96" s="432">
        <v>2992.2200000000003</v>
      </c>
      <c r="R96" s="493">
        <v>0</v>
      </c>
    </row>
    <row r="97" spans="1:18" x14ac:dyDescent="0.25">
      <c r="A97" s="492" t="s">
        <v>834</v>
      </c>
      <c r="B97" s="431">
        <f>'Admin Gen'!B101</f>
        <v>350</v>
      </c>
      <c r="C97" s="431">
        <v>0</v>
      </c>
      <c r="D97" s="431">
        <f>DFC!AJ10/12*9</f>
        <v>41.250000000000007</v>
      </c>
      <c r="E97" s="431">
        <v>0</v>
      </c>
      <c r="F97" s="431">
        <f>BRAVE!B101</f>
        <v>200</v>
      </c>
      <c r="G97" s="431">
        <v>0</v>
      </c>
      <c r="H97" s="431">
        <f>CP!O44</f>
        <v>114.41000000000001</v>
      </c>
      <c r="I97" s="431">
        <f>OA!I304+OA!I138+OA!I78</f>
        <v>107.68</v>
      </c>
      <c r="J97" s="431">
        <v>0</v>
      </c>
      <c r="K97" s="431">
        <v>0</v>
      </c>
      <c r="L97" s="431">
        <v>0</v>
      </c>
      <c r="M97" s="431">
        <v>0</v>
      </c>
      <c r="N97" s="431">
        <v>0</v>
      </c>
      <c r="O97" s="431">
        <v>0</v>
      </c>
      <c r="P97" s="432">
        <f t="shared" si="19"/>
        <v>813.33999999999992</v>
      </c>
      <c r="Q97" s="432">
        <v>468.34</v>
      </c>
      <c r="R97" s="493">
        <v>1267.9000000000001</v>
      </c>
    </row>
    <row r="98" spans="1:18" x14ac:dyDescent="0.25">
      <c r="A98" s="492" t="s">
        <v>835</v>
      </c>
      <c r="B98" s="431">
        <f>'Admin Gen'!B102</f>
        <v>4500</v>
      </c>
      <c r="C98" s="433">
        <f>'BSF Award'!E32</f>
        <v>1310</v>
      </c>
      <c r="D98" s="431">
        <v>0</v>
      </c>
      <c r="E98" s="431">
        <v>0</v>
      </c>
      <c r="F98" s="431">
        <f>BRAVE!B102</f>
        <v>1000</v>
      </c>
      <c r="G98" s="431">
        <v>0</v>
      </c>
      <c r="H98" s="431">
        <v>0</v>
      </c>
      <c r="I98" s="431">
        <v>0</v>
      </c>
      <c r="J98" s="431">
        <v>0</v>
      </c>
      <c r="K98" s="431">
        <v>0</v>
      </c>
      <c r="L98" s="431">
        <v>0</v>
      </c>
      <c r="M98" s="431">
        <v>0</v>
      </c>
      <c r="N98" s="431">
        <v>500</v>
      </c>
      <c r="O98" s="431">
        <v>0</v>
      </c>
      <c r="P98" s="432">
        <f t="shared" si="19"/>
        <v>7310</v>
      </c>
      <c r="Q98" s="432">
        <v>3034.1900000000005</v>
      </c>
      <c r="R98" s="493">
        <v>7070</v>
      </c>
    </row>
    <row r="99" spans="1:18" x14ac:dyDescent="0.25">
      <c r="A99" s="494" t="s">
        <v>791</v>
      </c>
      <c r="B99" s="434">
        <f t="shared" ref="B99:O99" si="21">SUM(B93:B98)</f>
        <v>7454.8</v>
      </c>
      <c r="C99" s="434">
        <f t="shared" si="21"/>
        <v>2010</v>
      </c>
      <c r="D99" s="434">
        <f t="shared" si="21"/>
        <v>2961.875</v>
      </c>
      <c r="E99" s="434">
        <f t="shared" si="21"/>
        <v>0</v>
      </c>
      <c r="F99" s="434">
        <f t="shared" si="21"/>
        <v>5520</v>
      </c>
      <c r="G99" s="434">
        <f t="shared" si="21"/>
        <v>0</v>
      </c>
      <c r="H99" s="434">
        <f t="shared" si="21"/>
        <v>2300.9499999999998</v>
      </c>
      <c r="I99" s="434">
        <f t="shared" si="21"/>
        <v>2411.36</v>
      </c>
      <c r="J99" s="434">
        <f t="shared" si="21"/>
        <v>5097.4000000000015</v>
      </c>
      <c r="K99" s="434">
        <f t="shared" si="21"/>
        <v>0</v>
      </c>
      <c r="L99" s="434">
        <f t="shared" si="21"/>
        <v>6400</v>
      </c>
      <c r="M99" s="434">
        <f t="shared" si="21"/>
        <v>1000</v>
      </c>
      <c r="N99" s="434">
        <f t="shared" si="21"/>
        <v>500</v>
      </c>
      <c r="O99" s="434">
        <f t="shared" si="21"/>
        <v>0</v>
      </c>
      <c r="P99" s="434">
        <f t="shared" si="19"/>
        <v>35656.385000000002</v>
      </c>
      <c r="Q99" s="434">
        <v>15845.919999999998</v>
      </c>
      <c r="R99" s="495">
        <v>34534.090000000004</v>
      </c>
    </row>
    <row r="100" spans="1:18" x14ac:dyDescent="0.25">
      <c r="A100" s="450" t="s">
        <v>792</v>
      </c>
      <c r="B100" s="435"/>
      <c r="C100" s="435"/>
      <c r="D100" s="435"/>
      <c r="E100" s="435"/>
      <c r="F100" s="435"/>
      <c r="G100" s="435"/>
      <c r="H100" s="435"/>
      <c r="I100" s="435"/>
      <c r="J100" s="435"/>
      <c r="K100" s="436"/>
      <c r="L100" s="435"/>
      <c r="M100" s="435"/>
      <c r="N100" s="435"/>
      <c r="O100" s="435"/>
      <c r="P100" s="435"/>
      <c r="Q100" s="439">
        <v>138.5</v>
      </c>
      <c r="R100" s="496">
        <v>0</v>
      </c>
    </row>
    <row r="101" spans="1:18" ht="27" x14ac:dyDescent="0.25">
      <c r="A101" s="450" t="s">
        <v>793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  <c r="Q101" s="435">
        <v>-500</v>
      </c>
      <c r="R101" s="497">
        <v>0</v>
      </c>
    </row>
    <row r="102" spans="1:18" x14ac:dyDescent="0.25">
      <c r="A102" s="498" t="s">
        <v>794</v>
      </c>
      <c r="B102" s="424">
        <f>'Admin Gen'!B106</f>
        <v>5600.0000000000009</v>
      </c>
      <c r="C102" s="424">
        <v>0</v>
      </c>
      <c r="D102" s="424">
        <f>DFC!AU9/12*9</f>
        <v>8481.0300000000007</v>
      </c>
      <c r="E102" s="424">
        <v>0</v>
      </c>
      <c r="F102" s="424">
        <f>BRAVE!B106</f>
        <v>24000</v>
      </c>
      <c r="G102" s="424">
        <f>DFC!AX9/12*9</f>
        <v>0</v>
      </c>
      <c r="H102" s="424">
        <f>CP!O50+CP!O48</f>
        <v>5083.68</v>
      </c>
      <c r="I102" s="424">
        <f>OA!I302+OA!I136+OA!I76</f>
        <v>8070.880000000001</v>
      </c>
      <c r="J102" s="424">
        <v>0</v>
      </c>
      <c r="K102" s="424">
        <v>0</v>
      </c>
      <c r="L102" s="424">
        <v>0</v>
      </c>
      <c r="M102" s="424">
        <v>0</v>
      </c>
      <c r="N102" s="424">
        <v>0</v>
      </c>
      <c r="O102" s="424">
        <v>0</v>
      </c>
      <c r="P102" s="424">
        <f>SUM(B102:O102)</f>
        <v>51235.59</v>
      </c>
      <c r="Q102" s="424">
        <v>41875.61</v>
      </c>
      <c r="R102" s="499">
        <v>40293.64</v>
      </c>
    </row>
    <row r="103" spans="1:18" x14ac:dyDescent="0.25">
      <c r="A103" s="483" t="s">
        <v>836</v>
      </c>
      <c r="B103" s="424">
        <f>'Admin Gen'!B107</f>
        <v>140</v>
      </c>
      <c r="C103" s="424">
        <v>0</v>
      </c>
      <c r="D103" s="422">
        <f>DFC!AU12/12*9</f>
        <v>270</v>
      </c>
      <c r="E103" s="424">
        <v>0</v>
      </c>
      <c r="F103" s="424">
        <f>BRAVE!B107</f>
        <v>1800</v>
      </c>
      <c r="G103" s="424">
        <f>BRAVE!C107</f>
        <v>600</v>
      </c>
      <c r="H103" s="422">
        <f>CP!O49</f>
        <v>510.00000000000006</v>
      </c>
      <c r="I103" s="424">
        <v>0</v>
      </c>
      <c r="J103" s="424">
        <v>0</v>
      </c>
      <c r="K103" s="424">
        <v>0</v>
      </c>
      <c r="L103" s="424">
        <v>0</v>
      </c>
      <c r="M103" s="424">
        <v>0</v>
      </c>
      <c r="N103" s="424">
        <v>0</v>
      </c>
      <c r="O103" s="424">
        <v>0</v>
      </c>
      <c r="P103" s="424">
        <f>SUM(B103:O103)</f>
        <v>3320</v>
      </c>
      <c r="Q103" s="424">
        <v>8576.3700000000008</v>
      </c>
      <c r="R103" s="499">
        <v>6390</v>
      </c>
    </row>
    <row r="104" spans="1:18" x14ac:dyDescent="0.25">
      <c r="A104" s="483" t="s">
        <v>837</v>
      </c>
      <c r="B104" s="424">
        <f>'Admin Gen'!B108</f>
        <v>770.00000000000011</v>
      </c>
      <c r="C104" s="424">
        <v>0</v>
      </c>
      <c r="D104" s="422">
        <f>(DFC!AU10+DFC!AU11)/12*9</f>
        <v>430.65000000000003</v>
      </c>
      <c r="E104" s="424">
        <v>0</v>
      </c>
      <c r="F104" s="424">
        <f>BRAVE!B108</f>
        <v>1800</v>
      </c>
      <c r="G104" s="424">
        <f>BRAVE!C108</f>
        <v>600</v>
      </c>
      <c r="H104" s="422">
        <f>CP!O51+1</f>
        <v>1021.0000000000001</v>
      </c>
      <c r="I104" s="424">
        <v>0</v>
      </c>
      <c r="J104" s="424">
        <v>0</v>
      </c>
      <c r="K104" s="424">
        <v>0</v>
      </c>
      <c r="L104" s="424">
        <v>0</v>
      </c>
      <c r="M104" s="424">
        <v>0</v>
      </c>
      <c r="N104" s="424">
        <v>0</v>
      </c>
      <c r="O104" s="424">
        <v>0</v>
      </c>
      <c r="P104" s="424">
        <f>SUM(B104:O104)</f>
        <v>4621.6500000000005</v>
      </c>
      <c r="Q104" s="424">
        <v>5459.9900000000007</v>
      </c>
      <c r="R104" s="499">
        <v>3892.08</v>
      </c>
    </row>
    <row r="105" spans="1:18" x14ac:dyDescent="0.25">
      <c r="A105" s="485" t="s">
        <v>795</v>
      </c>
      <c r="B105" s="425">
        <f t="shared" ref="B105:O105" si="22">((B102)+(B103))+(B104)</f>
        <v>6510.0000000000009</v>
      </c>
      <c r="C105" s="425">
        <f t="shared" si="22"/>
        <v>0</v>
      </c>
      <c r="D105" s="425">
        <f t="shared" si="22"/>
        <v>9181.68</v>
      </c>
      <c r="E105" s="425">
        <f t="shared" si="22"/>
        <v>0</v>
      </c>
      <c r="F105" s="425">
        <f t="shared" si="22"/>
        <v>27600</v>
      </c>
      <c r="G105" s="425">
        <f t="shared" si="22"/>
        <v>1200</v>
      </c>
      <c r="H105" s="425">
        <f t="shared" si="22"/>
        <v>6614.68</v>
      </c>
      <c r="I105" s="425">
        <f t="shared" si="22"/>
        <v>8070.880000000001</v>
      </c>
      <c r="J105" s="425">
        <f t="shared" si="22"/>
        <v>0</v>
      </c>
      <c r="K105" s="425">
        <f t="shared" si="22"/>
        <v>0</v>
      </c>
      <c r="L105" s="425">
        <f t="shared" si="22"/>
        <v>0</v>
      </c>
      <c r="M105" s="425">
        <f t="shared" si="22"/>
        <v>0</v>
      </c>
      <c r="N105" s="425">
        <f t="shared" si="22"/>
        <v>0</v>
      </c>
      <c r="O105" s="425">
        <f t="shared" si="22"/>
        <v>0</v>
      </c>
      <c r="P105" s="425">
        <f>SUM(B105:O105)</f>
        <v>59177.240000000005</v>
      </c>
      <c r="Q105" s="425">
        <v>55911.969999999994</v>
      </c>
      <c r="R105" s="486">
        <v>50575.719999999994</v>
      </c>
    </row>
    <row r="106" spans="1:18" x14ac:dyDescent="0.25">
      <c r="A106" s="450" t="s">
        <v>116</v>
      </c>
      <c r="B106" s="437">
        <f t="shared" ref="B106:R106" si="23">SUM(B105+B99+B92+B86+B80+B74+B73+B72+B67+B51)</f>
        <v>65410.8</v>
      </c>
      <c r="C106" s="437">
        <f t="shared" si="23"/>
        <v>271400</v>
      </c>
      <c r="D106" s="437">
        <f t="shared" si="23"/>
        <v>92292.849923250003</v>
      </c>
      <c r="E106" s="437">
        <f t="shared" si="23"/>
        <v>84000</v>
      </c>
      <c r="F106" s="437">
        <f t="shared" si="23"/>
        <v>47500</v>
      </c>
      <c r="G106" s="437">
        <f t="shared" si="23"/>
        <v>178800</v>
      </c>
      <c r="H106" s="437">
        <f t="shared" si="23"/>
        <v>211999.99300000002</v>
      </c>
      <c r="I106" s="437">
        <f t="shared" si="23"/>
        <v>125000.303</v>
      </c>
      <c r="J106" s="437">
        <f t="shared" si="23"/>
        <v>130699.91280500001</v>
      </c>
      <c r="K106" s="437">
        <f t="shared" si="23"/>
        <v>69300.001499999998</v>
      </c>
      <c r="L106" s="437">
        <f t="shared" si="23"/>
        <v>81981</v>
      </c>
      <c r="M106" s="437">
        <f t="shared" si="23"/>
        <v>40000</v>
      </c>
      <c r="N106" s="437">
        <f t="shared" si="23"/>
        <v>4600</v>
      </c>
      <c r="O106" s="437">
        <f t="shared" si="23"/>
        <v>0</v>
      </c>
      <c r="P106" s="437">
        <f t="shared" si="23"/>
        <v>1402984.86022825</v>
      </c>
      <c r="Q106" s="437">
        <f t="shared" si="23"/>
        <v>1074602.93</v>
      </c>
      <c r="R106" s="500">
        <f t="shared" si="23"/>
        <v>1011797.1</v>
      </c>
    </row>
    <row r="107" spans="1:18" x14ac:dyDescent="0.25">
      <c r="A107" s="450" t="s">
        <v>117</v>
      </c>
      <c r="B107" s="393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451"/>
    </row>
    <row r="108" spans="1:18" ht="15.75" thickBot="1" x14ac:dyDescent="0.3">
      <c r="A108" s="501" t="s">
        <v>118</v>
      </c>
      <c r="B108" s="502">
        <f t="shared" ref="B108:R108" si="24">B26-B106</f>
        <v>27277.89</v>
      </c>
      <c r="C108" s="502">
        <f t="shared" si="24"/>
        <v>0</v>
      </c>
      <c r="D108" s="502">
        <f t="shared" si="24"/>
        <v>7.6750002335757017E-5</v>
      </c>
      <c r="E108" s="502">
        <f t="shared" si="24"/>
        <v>0</v>
      </c>
      <c r="F108" s="502">
        <f t="shared" si="24"/>
        <v>0</v>
      </c>
      <c r="G108" s="502">
        <f t="shared" si="24"/>
        <v>0</v>
      </c>
      <c r="H108" s="502">
        <f t="shared" si="24"/>
        <v>6.9999999832361937E-3</v>
      </c>
      <c r="I108" s="502">
        <f t="shared" si="24"/>
        <v>-0.3060000000114087</v>
      </c>
      <c r="J108" s="502">
        <f t="shared" si="24"/>
        <v>-2.805000010994263E-3</v>
      </c>
      <c r="K108" s="502">
        <f t="shared" si="24"/>
        <v>-1.4999999984866008E-3</v>
      </c>
      <c r="L108" s="502">
        <f t="shared" si="24"/>
        <v>0</v>
      </c>
      <c r="M108" s="502">
        <f t="shared" si="24"/>
        <v>0</v>
      </c>
      <c r="N108" s="502">
        <f t="shared" si="24"/>
        <v>400</v>
      </c>
      <c r="O108" s="502">
        <f t="shared" si="24"/>
        <v>0</v>
      </c>
      <c r="P108" s="502">
        <f t="shared" si="24"/>
        <v>27677.586771749891</v>
      </c>
      <c r="Q108" s="502">
        <f t="shared" si="24"/>
        <v>287806.27000000025</v>
      </c>
      <c r="R108" s="503">
        <f t="shared" si="24"/>
        <v>356120.02999999991</v>
      </c>
    </row>
  </sheetData>
  <mergeCells count="2">
    <mergeCell ref="A1:R1"/>
    <mergeCell ref="A2:R2"/>
  </mergeCells>
  <pageMargins left="0.7" right="0.7" top="0.75" bottom="0.75" header="0.3" footer="0.3"/>
  <pageSetup paperSize="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FC06-E29D-4D1E-97B5-897BE6FC9ADC}">
  <dimension ref="A1:DU117"/>
  <sheetViews>
    <sheetView workbookViewId="0">
      <selection activeCell="A5" sqref="A5"/>
    </sheetView>
  </sheetViews>
  <sheetFormatPr defaultRowHeight="15" x14ac:dyDescent="0.25"/>
  <cols>
    <col min="1" max="1" width="44.7109375" customWidth="1"/>
    <col min="2" max="2" width="9.42578125" customWidth="1"/>
    <col min="3" max="3" width="10.28515625" customWidth="1"/>
    <col min="4" max="4" width="11.140625" customWidth="1"/>
    <col min="5" max="5" width="9.42578125" customWidth="1"/>
    <col min="6" max="7" width="10.28515625" customWidth="1"/>
    <col min="8" max="8" width="10.140625" bestFit="1" customWidth="1"/>
    <col min="9" max="9" width="9.42578125" customWidth="1"/>
    <col min="10" max="11" width="10.28515625" customWidth="1"/>
    <col min="12" max="12" width="11.140625" customWidth="1"/>
    <col min="13" max="13" width="7.7109375" customWidth="1"/>
    <col min="14" max="14" width="11.140625" customWidth="1"/>
    <col min="15" max="15" width="7.7109375" customWidth="1"/>
    <col min="16" max="16" width="11.140625" customWidth="1"/>
    <col min="17" max="17" width="7.7109375" customWidth="1"/>
    <col min="18" max="18" width="11.140625" customWidth="1"/>
    <col min="19" max="19" width="7.7109375" customWidth="1"/>
    <col min="20" max="20" width="11.140625" customWidth="1"/>
    <col min="21" max="21" width="7.7109375" customWidth="1"/>
    <col min="22" max="23" width="10.28515625" customWidth="1"/>
    <col min="24" max="24" width="11.140625" customWidth="1"/>
    <col min="25" max="25" width="7.7109375" customWidth="1"/>
    <col min="26" max="26" width="10.28515625" customWidth="1"/>
    <col min="27" max="27" width="7.7109375" customWidth="1"/>
    <col min="28" max="28" width="10.28515625" customWidth="1"/>
    <col min="29" max="29" width="7.7109375" customWidth="1"/>
    <col min="30" max="30" width="10.28515625" customWidth="1"/>
    <col min="31" max="31" width="7.7109375" customWidth="1"/>
    <col min="32" max="32" width="10.28515625" customWidth="1"/>
    <col min="33" max="33" width="7.7109375" customWidth="1"/>
    <col min="34" max="34" width="11.140625" customWidth="1"/>
    <col min="35" max="35" width="7.7109375" customWidth="1"/>
    <col min="36" max="36" width="11.140625" customWidth="1"/>
    <col min="37" max="37" width="7.7109375" customWidth="1"/>
    <col min="38" max="38" width="11.140625" customWidth="1"/>
    <col min="39" max="39" width="7.7109375" customWidth="1"/>
    <col min="40" max="40" width="11.140625" customWidth="1"/>
    <col min="41" max="41" width="7.7109375" customWidth="1"/>
    <col min="42" max="42" width="11.140625" customWidth="1"/>
    <col min="43" max="43" width="7.7109375" customWidth="1"/>
    <col min="44" max="44" width="11.140625" customWidth="1"/>
    <col min="45" max="45" width="7.7109375" customWidth="1"/>
    <col min="46" max="46" width="11.140625" customWidth="1"/>
    <col min="47" max="47" width="7.7109375" customWidth="1"/>
    <col min="48" max="48" width="11.140625" customWidth="1"/>
    <col min="49" max="49" width="7.7109375" customWidth="1"/>
    <col min="50" max="50" width="11.140625" customWidth="1"/>
    <col min="51" max="51" width="10.28515625" customWidth="1"/>
    <col min="52" max="52" width="11.140625" customWidth="1"/>
    <col min="53" max="53" width="7.7109375" customWidth="1"/>
    <col min="54" max="55" width="10.28515625" customWidth="1"/>
    <col min="56" max="56" width="11.140625" customWidth="1"/>
    <col min="57" max="57" width="7.7109375" customWidth="1"/>
    <col min="58" max="58" width="10.28515625" customWidth="1"/>
    <col min="59" max="59" width="7.7109375" customWidth="1"/>
    <col min="60" max="60" width="10.28515625" customWidth="1"/>
    <col min="61" max="61" width="7.7109375" customWidth="1"/>
    <col min="62" max="62" width="11.140625" customWidth="1"/>
    <col min="63" max="63" width="7.7109375" customWidth="1"/>
    <col min="64" max="64" width="11.140625" customWidth="1"/>
    <col min="65" max="65" width="7.7109375" customWidth="1"/>
    <col min="66" max="66" width="10.28515625" customWidth="1"/>
    <col min="67" max="67" width="7.7109375" customWidth="1"/>
    <col min="68" max="68" width="10.28515625" customWidth="1"/>
    <col min="69" max="69" width="7.7109375" customWidth="1"/>
    <col min="70" max="71" width="10.28515625" customWidth="1"/>
    <col min="72" max="72" width="11.140625" customWidth="1"/>
    <col min="73" max="73" width="7.7109375" customWidth="1"/>
    <col min="74" max="74" width="10.28515625" customWidth="1"/>
    <col min="75" max="75" width="9.42578125" customWidth="1"/>
    <col min="76" max="76" width="10.28515625" customWidth="1"/>
    <col min="77" max="77" width="7.7109375" customWidth="1"/>
    <col min="78" max="78" width="10.28515625" customWidth="1"/>
    <col min="79" max="79" width="9.42578125" customWidth="1"/>
    <col min="80" max="80" width="10.28515625" customWidth="1"/>
    <col min="81" max="81" width="7.7109375" customWidth="1"/>
    <col min="82" max="82" width="11.140625" customWidth="1"/>
    <col min="83" max="83" width="7.7109375" customWidth="1"/>
    <col min="84" max="84" width="11.140625" customWidth="1"/>
    <col min="85" max="85" width="7.7109375" customWidth="1"/>
    <col min="86" max="86" width="8.5703125" customWidth="1"/>
    <col min="87" max="87" width="7.7109375" customWidth="1"/>
    <col min="88" max="88" width="8.5703125" customWidth="1"/>
    <col min="89" max="89" width="7.7109375" customWidth="1"/>
    <col min="90" max="90" width="11.140625" customWidth="1"/>
    <col min="91" max="91" width="7.7109375" customWidth="1"/>
    <col min="92" max="92" width="11.140625" customWidth="1"/>
    <col min="93" max="93" width="7.7109375" customWidth="1"/>
    <col min="94" max="94" width="10.28515625" customWidth="1"/>
    <col min="95" max="95" width="7.7109375" customWidth="1"/>
    <col min="96" max="96" width="10.28515625" customWidth="1"/>
    <col min="97" max="97" width="7.7109375" customWidth="1"/>
    <col min="98" max="100" width="9.42578125" customWidth="1"/>
    <col min="101" max="101" width="7.7109375" customWidth="1"/>
    <col min="102" max="102" width="10.28515625" customWidth="1"/>
    <col min="103" max="103" width="9.42578125" customWidth="1"/>
    <col min="104" max="104" width="10.28515625" customWidth="1"/>
    <col min="105" max="105" width="7.7109375" customWidth="1"/>
    <col min="106" max="106" width="9.42578125" hidden="1" customWidth="1"/>
    <col min="107" max="107" width="7.7109375" hidden="1" customWidth="1"/>
    <col min="108" max="108" width="9.42578125" hidden="1" customWidth="1"/>
    <col min="109" max="109" width="7.7109375" hidden="1" customWidth="1"/>
    <col min="110" max="110" width="11.140625" hidden="1" customWidth="1"/>
    <col min="111" max="111" width="7.7109375" hidden="1" customWidth="1"/>
    <col min="112" max="112" width="11.140625" hidden="1" customWidth="1"/>
    <col min="113" max="113" width="7.7109375" hidden="1" customWidth="1"/>
    <col min="114" max="114" width="10.28515625" hidden="1" customWidth="1"/>
    <col min="115" max="115" width="7.7109375" hidden="1" customWidth="1"/>
    <col min="116" max="116" width="10.28515625" hidden="1" customWidth="1"/>
    <col min="117" max="121" width="7.7109375" hidden="1" customWidth="1"/>
    <col min="122" max="124" width="12" customWidth="1"/>
    <col min="125" max="125" width="9.42578125" customWidth="1"/>
  </cols>
  <sheetData>
    <row r="1" spans="1:125" ht="18" x14ac:dyDescent="0.25">
      <c r="A1" s="507" t="s">
        <v>0</v>
      </c>
    </row>
    <row r="2" spans="1:125" ht="18" x14ac:dyDescent="0.25">
      <c r="A2" s="507" t="s">
        <v>872</v>
      </c>
    </row>
    <row r="3" spans="1:125" x14ac:dyDescent="0.25">
      <c r="A3" s="508" t="s">
        <v>1</v>
      </c>
    </row>
    <row r="5" spans="1:125" ht="36.75" customHeight="1" x14ac:dyDescent="0.25">
      <c r="A5" s="1"/>
      <c r="B5" s="509" t="s">
        <v>2</v>
      </c>
      <c r="C5" s="1"/>
      <c r="D5" s="1"/>
      <c r="E5" s="1"/>
      <c r="F5" s="509" t="s">
        <v>3</v>
      </c>
      <c r="G5" s="1"/>
      <c r="H5" s="1"/>
      <c r="I5" s="1"/>
      <c r="J5" s="509" t="s">
        <v>4</v>
      </c>
      <c r="K5" s="1"/>
      <c r="L5" s="1"/>
      <c r="M5" s="1"/>
      <c r="N5" s="509" t="s">
        <v>5</v>
      </c>
      <c r="O5" s="1"/>
      <c r="P5" s="1"/>
      <c r="Q5" s="1"/>
      <c r="R5" s="509" t="s">
        <v>6</v>
      </c>
      <c r="S5" s="1"/>
      <c r="T5" s="1"/>
      <c r="U5" s="1"/>
      <c r="V5" s="509" t="s">
        <v>7</v>
      </c>
      <c r="W5" s="1"/>
      <c r="X5" s="1"/>
      <c r="Y5" s="1"/>
      <c r="Z5" s="509" t="s">
        <v>439</v>
      </c>
      <c r="AA5" s="1"/>
      <c r="AB5" s="1"/>
      <c r="AC5" s="1"/>
      <c r="AD5" s="509" t="s">
        <v>689</v>
      </c>
      <c r="AE5" s="1"/>
      <c r="AF5" s="1"/>
      <c r="AG5" s="1"/>
      <c r="AH5" s="509" t="s">
        <v>442</v>
      </c>
      <c r="AI5" s="1"/>
      <c r="AJ5" s="1"/>
      <c r="AK5" s="1"/>
      <c r="AL5" s="509" t="s">
        <v>690</v>
      </c>
      <c r="AM5" s="1"/>
      <c r="AN5" s="1"/>
      <c r="AO5" s="1"/>
      <c r="AP5" s="509" t="s">
        <v>691</v>
      </c>
      <c r="AQ5" s="1"/>
      <c r="AR5" s="1"/>
      <c r="AS5" s="1"/>
      <c r="AT5" s="509" t="s">
        <v>692</v>
      </c>
      <c r="AU5" s="1"/>
      <c r="AV5" s="1"/>
      <c r="AW5" s="1"/>
      <c r="AX5" s="509" t="s">
        <v>693</v>
      </c>
      <c r="AY5" s="1"/>
      <c r="AZ5" s="1"/>
      <c r="BA5" s="1"/>
      <c r="BB5" s="509" t="s">
        <v>8</v>
      </c>
      <c r="BC5" s="1"/>
      <c r="BD5" s="1"/>
      <c r="BE5" s="1"/>
      <c r="BF5" s="509" t="s">
        <v>694</v>
      </c>
      <c r="BG5" s="1"/>
      <c r="BH5" s="1"/>
      <c r="BI5" s="1"/>
      <c r="BJ5" s="509" t="s">
        <v>695</v>
      </c>
      <c r="BK5" s="1"/>
      <c r="BL5" s="1"/>
      <c r="BM5" s="1"/>
      <c r="BN5" s="509" t="s">
        <v>696</v>
      </c>
      <c r="BO5" s="1"/>
      <c r="BP5" s="1"/>
      <c r="BQ5" s="1"/>
      <c r="BR5" s="509" t="s">
        <v>697</v>
      </c>
      <c r="BS5" s="1"/>
      <c r="BT5" s="1"/>
      <c r="BU5" s="1"/>
      <c r="BV5" s="509" t="s">
        <v>9</v>
      </c>
      <c r="BW5" s="1"/>
      <c r="BX5" s="1"/>
      <c r="BY5" s="1"/>
      <c r="BZ5" s="509" t="s">
        <v>10</v>
      </c>
      <c r="CA5" s="1"/>
      <c r="CB5" s="1"/>
      <c r="CC5" s="1"/>
      <c r="CD5" s="509" t="s">
        <v>11</v>
      </c>
      <c r="CE5" s="1"/>
      <c r="CF5" s="1"/>
      <c r="CG5" s="1"/>
      <c r="CH5" s="509" t="s">
        <v>14</v>
      </c>
      <c r="CI5" s="1"/>
      <c r="CJ5" s="1"/>
      <c r="CK5" s="1"/>
      <c r="CL5" s="509" t="s">
        <v>698</v>
      </c>
      <c r="CM5" s="1"/>
      <c r="CN5" s="1"/>
      <c r="CO5" s="1"/>
      <c r="CP5" s="509" t="s">
        <v>12</v>
      </c>
      <c r="CQ5" s="1"/>
      <c r="CR5" s="1"/>
      <c r="CS5" s="1"/>
      <c r="CT5" s="509" t="s">
        <v>15</v>
      </c>
      <c r="CU5" s="1"/>
      <c r="CV5" s="1"/>
      <c r="CW5" s="1"/>
      <c r="CX5" s="509" t="s">
        <v>699</v>
      </c>
      <c r="CY5" s="1"/>
      <c r="CZ5" s="1"/>
      <c r="DA5" s="1"/>
      <c r="DB5" s="509" t="s">
        <v>415</v>
      </c>
      <c r="DC5" s="1"/>
      <c r="DD5" s="1"/>
      <c r="DE5" s="1"/>
      <c r="DF5" s="509" t="s">
        <v>873</v>
      </c>
      <c r="DG5" s="1"/>
      <c r="DH5" s="1"/>
      <c r="DI5" s="1"/>
      <c r="DJ5" s="509" t="s">
        <v>874</v>
      </c>
      <c r="DK5" s="1"/>
      <c r="DL5" s="1"/>
      <c r="DM5" s="1"/>
      <c r="DN5" s="509" t="s">
        <v>703</v>
      </c>
      <c r="DO5" s="1"/>
      <c r="DP5" s="1"/>
      <c r="DQ5" s="1"/>
      <c r="DR5" s="509" t="s">
        <v>16</v>
      </c>
      <c r="DS5" s="1"/>
      <c r="DT5" s="1"/>
      <c r="DU5" s="1"/>
    </row>
    <row r="6" spans="1:125" ht="24.75" x14ac:dyDescent="0.25">
      <c r="A6" s="1"/>
      <c r="B6" s="510" t="s">
        <v>704</v>
      </c>
      <c r="C6" s="510" t="s">
        <v>119</v>
      </c>
      <c r="D6" s="510" t="s">
        <v>859</v>
      </c>
      <c r="E6" s="510" t="s">
        <v>860</v>
      </c>
      <c r="F6" s="510" t="s">
        <v>704</v>
      </c>
      <c r="G6" s="510" t="s">
        <v>119</v>
      </c>
      <c r="H6" s="510" t="s">
        <v>859</v>
      </c>
      <c r="I6" s="510" t="s">
        <v>860</v>
      </c>
      <c r="J6" s="510" t="s">
        <v>704</v>
      </c>
      <c r="K6" s="510" t="s">
        <v>119</v>
      </c>
      <c r="L6" s="510" t="s">
        <v>859</v>
      </c>
      <c r="M6" s="510" t="s">
        <v>860</v>
      </c>
      <c r="N6" s="510" t="s">
        <v>704</v>
      </c>
      <c r="O6" s="510" t="s">
        <v>119</v>
      </c>
      <c r="P6" s="510" t="s">
        <v>859</v>
      </c>
      <c r="Q6" s="510" t="s">
        <v>860</v>
      </c>
      <c r="R6" s="510" t="s">
        <v>704</v>
      </c>
      <c r="S6" s="510" t="s">
        <v>119</v>
      </c>
      <c r="T6" s="510" t="s">
        <v>859</v>
      </c>
      <c r="U6" s="510" t="s">
        <v>860</v>
      </c>
      <c r="V6" s="510" t="s">
        <v>704</v>
      </c>
      <c r="W6" s="510" t="s">
        <v>119</v>
      </c>
      <c r="X6" s="510" t="s">
        <v>859</v>
      </c>
      <c r="Y6" s="510" t="s">
        <v>860</v>
      </c>
      <c r="Z6" s="510" t="s">
        <v>704</v>
      </c>
      <c r="AA6" s="510" t="s">
        <v>119</v>
      </c>
      <c r="AB6" s="510" t="s">
        <v>859</v>
      </c>
      <c r="AC6" s="510" t="s">
        <v>860</v>
      </c>
      <c r="AD6" s="510" t="s">
        <v>704</v>
      </c>
      <c r="AE6" s="510" t="s">
        <v>119</v>
      </c>
      <c r="AF6" s="510" t="s">
        <v>859</v>
      </c>
      <c r="AG6" s="510" t="s">
        <v>860</v>
      </c>
      <c r="AH6" s="510" t="s">
        <v>704</v>
      </c>
      <c r="AI6" s="510" t="s">
        <v>119</v>
      </c>
      <c r="AJ6" s="510" t="s">
        <v>859</v>
      </c>
      <c r="AK6" s="510" t="s">
        <v>860</v>
      </c>
      <c r="AL6" s="510" t="s">
        <v>704</v>
      </c>
      <c r="AM6" s="510" t="s">
        <v>119</v>
      </c>
      <c r="AN6" s="510" t="s">
        <v>859</v>
      </c>
      <c r="AO6" s="510" t="s">
        <v>860</v>
      </c>
      <c r="AP6" s="510" t="s">
        <v>704</v>
      </c>
      <c r="AQ6" s="510" t="s">
        <v>119</v>
      </c>
      <c r="AR6" s="510" t="s">
        <v>859</v>
      </c>
      <c r="AS6" s="510" t="s">
        <v>860</v>
      </c>
      <c r="AT6" s="510" t="s">
        <v>704</v>
      </c>
      <c r="AU6" s="510" t="s">
        <v>119</v>
      </c>
      <c r="AV6" s="510" t="s">
        <v>859</v>
      </c>
      <c r="AW6" s="510" t="s">
        <v>860</v>
      </c>
      <c r="AX6" s="510" t="s">
        <v>704</v>
      </c>
      <c r="AY6" s="510" t="s">
        <v>119</v>
      </c>
      <c r="AZ6" s="510" t="s">
        <v>859</v>
      </c>
      <c r="BA6" s="510" t="s">
        <v>860</v>
      </c>
      <c r="BB6" s="510" t="s">
        <v>704</v>
      </c>
      <c r="BC6" s="510" t="s">
        <v>119</v>
      </c>
      <c r="BD6" s="510" t="s">
        <v>859</v>
      </c>
      <c r="BE6" s="510" t="s">
        <v>860</v>
      </c>
      <c r="BF6" s="510" t="s">
        <v>704</v>
      </c>
      <c r="BG6" s="510" t="s">
        <v>119</v>
      </c>
      <c r="BH6" s="510" t="s">
        <v>859</v>
      </c>
      <c r="BI6" s="510" t="s">
        <v>860</v>
      </c>
      <c r="BJ6" s="510" t="s">
        <v>704</v>
      </c>
      <c r="BK6" s="510" t="s">
        <v>119</v>
      </c>
      <c r="BL6" s="510" t="s">
        <v>859</v>
      </c>
      <c r="BM6" s="510" t="s">
        <v>860</v>
      </c>
      <c r="BN6" s="510" t="s">
        <v>704</v>
      </c>
      <c r="BO6" s="510" t="s">
        <v>119</v>
      </c>
      <c r="BP6" s="510" t="s">
        <v>859</v>
      </c>
      <c r="BQ6" s="510" t="s">
        <v>860</v>
      </c>
      <c r="BR6" s="510" t="s">
        <v>704</v>
      </c>
      <c r="BS6" s="510" t="s">
        <v>119</v>
      </c>
      <c r="BT6" s="510" t="s">
        <v>859</v>
      </c>
      <c r="BU6" s="510" t="s">
        <v>860</v>
      </c>
      <c r="BV6" s="510" t="s">
        <v>704</v>
      </c>
      <c r="BW6" s="510" t="s">
        <v>119</v>
      </c>
      <c r="BX6" s="510" t="s">
        <v>859</v>
      </c>
      <c r="BY6" s="510" t="s">
        <v>860</v>
      </c>
      <c r="BZ6" s="510" t="s">
        <v>704</v>
      </c>
      <c r="CA6" s="510" t="s">
        <v>119</v>
      </c>
      <c r="CB6" s="510" t="s">
        <v>859</v>
      </c>
      <c r="CC6" s="510" t="s">
        <v>860</v>
      </c>
      <c r="CD6" s="510" t="s">
        <v>704</v>
      </c>
      <c r="CE6" s="510" t="s">
        <v>119</v>
      </c>
      <c r="CF6" s="510" t="s">
        <v>859</v>
      </c>
      <c r="CG6" s="510" t="s">
        <v>860</v>
      </c>
      <c r="CH6" s="510" t="s">
        <v>704</v>
      </c>
      <c r="CI6" s="510" t="s">
        <v>119</v>
      </c>
      <c r="CJ6" s="510" t="s">
        <v>859</v>
      </c>
      <c r="CK6" s="510" t="s">
        <v>860</v>
      </c>
      <c r="CL6" s="510" t="s">
        <v>704</v>
      </c>
      <c r="CM6" s="510" t="s">
        <v>119</v>
      </c>
      <c r="CN6" s="510" t="s">
        <v>859</v>
      </c>
      <c r="CO6" s="510" t="s">
        <v>860</v>
      </c>
      <c r="CP6" s="510" t="s">
        <v>704</v>
      </c>
      <c r="CQ6" s="510" t="s">
        <v>119</v>
      </c>
      <c r="CR6" s="510" t="s">
        <v>859</v>
      </c>
      <c r="CS6" s="510" t="s">
        <v>860</v>
      </c>
      <c r="CT6" s="510" t="s">
        <v>704</v>
      </c>
      <c r="CU6" s="510" t="s">
        <v>119</v>
      </c>
      <c r="CV6" s="510" t="s">
        <v>859</v>
      </c>
      <c r="CW6" s="510" t="s">
        <v>860</v>
      </c>
      <c r="CX6" s="510" t="s">
        <v>704</v>
      </c>
      <c r="CY6" s="510" t="s">
        <v>119</v>
      </c>
      <c r="CZ6" s="510" t="s">
        <v>859</v>
      </c>
      <c r="DA6" s="510" t="s">
        <v>860</v>
      </c>
      <c r="DB6" s="510" t="s">
        <v>704</v>
      </c>
      <c r="DC6" s="510" t="s">
        <v>119</v>
      </c>
      <c r="DD6" s="510" t="s">
        <v>859</v>
      </c>
      <c r="DE6" s="510" t="s">
        <v>860</v>
      </c>
      <c r="DF6" s="510" t="s">
        <v>704</v>
      </c>
      <c r="DG6" s="510" t="s">
        <v>119</v>
      </c>
      <c r="DH6" s="510" t="s">
        <v>859</v>
      </c>
      <c r="DI6" s="510" t="s">
        <v>860</v>
      </c>
      <c r="DJ6" s="510" t="s">
        <v>704</v>
      </c>
      <c r="DK6" s="510" t="s">
        <v>119</v>
      </c>
      <c r="DL6" s="510" t="s">
        <v>859</v>
      </c>
      <c r="DM6" s="510" t="s">
        <v>860</v>
      </c>
      <c r="DN6" s="510" t="s">
        <v>704</v>
      </c>
      <c r="DO6" s="510" t="s">
        <v>119</v>
      </c>
      <c r="DP6" s="510" t="s">
        <v>859</v>
      </c>
      <c r="DQ6" s="510" t="s">
        <v>860</v>
      </c>
      <c r="DR6" s="510" t="s">
        <v>704</v>
      </c>
      <c r="DS6" s="510" t="s">
        <v>119</v>
      </c>
      <c r="DT6" s="510" t="s">
        <v>859</v>
      </c>
      <c r="DU6" s="510" t="s">
        <v>860</v>
      </c>
    </row>
    <row r="7" spans="1:125" x14ac:dyDescent="0.25">
      <c r="A7" s="2" t="s">
        <v>18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x14ac:dyDescent="0.25">
      <c r="A8" s="2" t="s">
        <v>19</v>
      </c>
      <c r="B8" s="3"/>
      <c r="C8" s="3"/>
      <c r="D8" s="511">
        <f t="shared" ref="D8:D30" si="0">(B8)-(C8)</f>
        <v>0</v>
      </c>
      <c r="E8" s="512" t="str">
        <f t="shared" ref="E8:E30" si="1">IF(C8=0,"",(B8)/(C8))</f>
        <v/>
      </c>
      <c r="F8" s="3"/>
      <c r="G8" s="3"/>
      <c r="H8" s="511">
        <f t="shared" ref="H8:H30" si="2">(F8)-(G8)</f>
        <v>0</v>
      </c>
      <c r="I8" s="512" t="str">
        <f t="shared" ref="I8:I30" si="3">IF(G8=0,"",(F8)/(G8))</f>
        <v/>
      </c>
      <c r="J8" s="3"/>
      <c r="K8" s="3"/>
      <c r="L8" s="511">
        <f t="shared" ref="L8:L30" si="4">(J8)-(K8)</f>
        <v>0</v>
      </c>
      <c r="M8" s="512" t="str">
        <f t="shared" ref="M8:M30" si="5">IF(K8=0,"",(J8)/(K8))</f>
        <v/>
      </c>
      <c r="N8" s="3"/>
      <c r="O8" s="3"/>
      <c r="P8" s="511">
        <f t="shared" ref="P8:P30" si="6">(N8)-(O8)</f>
        <v>0</v>
      </c>
      <c r="Q8" s="512" t="str">
        <f t="shared" ref="Q8:Q30" si="7">IF(O8=0,"",(N8)/(O8))</f>
        <v/>
      </c>
      <c r="R8" s="3"/>
      <c r="S8" s="3"/>
      <c r="T8" s="511">
        <f t="shared" ref="T8:T30" si="8">(R8)-(S8)</f>
        <v>0</v>
      </c>
      <c r="U8" s="512" t="str">
        <f t="shared" ref="U8:U30" si="9">IF(S8=0,"",(R8)/(S8))</f>
        <v/>
      </c>
      <c r="V8" s="511">
        <f>180750</f>
        <v>180750</v>
      </c>
      <c r="W8" s="511">
        <f>200000</f>
        <v>200000</v>
      </c>
      <c r="X8" s="511">
        <f t="shared" ref="X8:X30" si="10">(V8)-(W8)</f>
        <v>-19250</v>
      </c>
      <c r="Y8" s="512">
        <f t="shared" ref="Y8:Y30" si="11">IF(W8=0,"",(V8)/(W8))</f>
        <v>0.90375000000000005</v>
      </c>
      <c r="Z8" s="3"/>
      <c r="AA8" s="3"/>
      <c r="AB8" s="511">
        <f t="shared" ref="AB8:AB30" si="12">(Z8)-(AA8)</f>
        <v>0</v>
      </c>
      <c r="AC8" s="512" t="str">
        <f t="shared" ref="AC8:AC30" si="13">IF(AA8=0,"",(Z8)/(AA8))</f>
        <v/>
      </c>
      <c r="AD8" s="3"/>
      <c r="AE8" s="3"/>
      <c r="AF8" s="511">
        <f t="shared" ref="AF8:AF30" si="14">(AD8)-(AE8)</f>
        <v>0</v>
      </c>
      <c r="AG8" s="512" t="str">
        <f t="shared" ref="AG8:AG30" si="15">IF(AE8=0,"",(AD8)/(AE8))</f>
        <v/>
      </c>
      <c r="AH8" s="3"/>
      <c r="AI8" s="3"/>
      <c r="AJ8" s="511">
        <f t="shared" ref="AJ8:AJ30" si="16">(AH8)-(AI8)</f>
        <v>0</v>
      </c>
      <c r="AK8" s="512" t="str">
        <f t="shared" ref="AK8:AK30" si="17">IF(AI8=0,"",(AH8)/(AI8))</f>
        <v/>
      </c>
      <c r="AL8" s="3"/>
      <c r="AM8" s="3"/>
      <c r="AN8" s="511">
        <f t="shared" ref="AN8:AN30" si="18">(AL8)-(AM8)</f>
        <v>0</v>
      </c>
      <c r="AO8" s="512" t="str">
        <f t="shared" ref="AO8:AO30" si="19">IF(AM8=0,"",(AL8)/(AM8))</f>
        <v/>
      </c>
      <c r="AP8" s="3"/>
      <c r="AQ8" s="3"/>
      <c r="AR8" s="511">
        <f t="shared" ref="AR8:AR30" si="20">(AP8)-(AQ8)</f>
        <v>0</v>
      </c>
      <c r="AS8" s="512" t="str">
        <f t="shared" ref="AS8:AS30" si="21">IF(AQ8=0,"",(AP8)/(AQ8))</f>
        <v/>
      </c>
      <c r="AT8" s="3"/>
      <c r="AU8" s="3"/>
      <c r="AV8" s="511">
        <f t="shared" ref="AV8:AV30" si="22">(AT8)-(AU8)</f>
        <v>0</v>
      </c>
      <c r="AW8" s="512" t="str">
        <f t="shared" ref="AW8:AW30" si="23">IF(AU8=0,"",(AT8)/(AU8))</f>
        <v/>
      </c>
      <c r="AX8" s="511">
        <f t="shared" ref="AX8:AY30" si="24">((((((V8)+(Z8))+(AD8))+(AH8))+(AL8))+(AP8))+(AT8)</f>
        <v>180750</v>
      </c>
      <c r="AY8" s="511">
        <f t="shared" si="24"/>
        <v>200000</v>
      </c>
      <c r="AZ8" s="511">
        <f t="shared" ref="AZ8:AZ30" si="25">(AX8)-(AY8)</f>
        <v>-19250</v>
      </c>
      <c r="BA8" s="512">
        <f t="shared" ref="BA8:BA30" si="26">IF(AY8=0,"",(AX8)/(AY8))</f>
        <v>0.90375000000000005</v>
      </c>
      <c r="BB8" s="511">
        <f>108250</f>
        <v>108250</v>
      </c>
      <c r="BC8" s="511">
        <f>125000</f>
        <v>125000</v>
      </c>
      <c r="BD8" s="511">
        <f t="shared" ref="BD8:BD30" si="27">(BB8)-(BC8)</f>
        <v>-16750</v>
      </c>
      <c r="BE8" s="512">
        <f t="shared" ref="BE8:BE30" si="28">IF(BC8=0,"",(BB8)/(BC8))</f>
        <v>0.86599999999999999</v>
      </c>
      <c r="BF8" s="3"/>
      <c r="BG8" s="3"/>
      <c r="BH8" s="511">
        <f t="shared" ref="BH8:BH30" si="29">(BF8)-(BG8)</f>
        <v>0</v>
      </c>
      <c r="BI8" s="512" t="str">
        <f t="shared" ref="BI8:BI30" si="30">IF(BG8=0,"",(BF8)/(BG8))</f>
        <v/>
      </c>
      <c r="BJ8" s="3"/>
      <c r="BK8" s="3"/>
      <c r="BL8" s="511">
        <f t="shared" ref="BL8:BL30" si="31">(BJ8)-(BK8)</f>
        <v>0</v>
      </c>
      <c r="BM8" s="512" t="str">
        <f t="shared" ref="BM8:BM30" si="32">IF(BK8=0,"",(BJ8)/(BK8))</f>
        <v/>
      </c>
      <c r="BN8" s="3"/>
      <c r="BO8" s="3"/>
      <c r="BP8" s="511">
        <f t="shared" ref="BP8:BP30" si="33">(BN8)-(BO8)</f>
        <v>0</v>
      </c>
      <c r="BQ8" s="512" t="str">
        <f t="shared" ref="BQ8:BQ30" si="34">IF(BO8=0,"",(BN8)/(BO8))</f>
        <v/>
      </c>
      <c r="BR8" s="511">
        <f t="shared" ref="BR8:BS30" si="35">(((BB8)+(BF8))+(BJ8))+(BN8)</f>
        <v>108250</v>
      </c>
      <c r="BS8" s="511">
        <f t="shared" si="35"/>
        <v>125000</v>
      </c>
      <c r="BT8" s="511">
        <f t="shared" ref="BT8:BT30" si="36">(BR8)-(BS8)</f>
        <v>-16750</v>
      </c>
      <c r="BU8" s="512">
        <f t="shared" ref="BU8:BU30" si="37">IF(BS8=0,"",(BR8)/(BS8))</f>
        <v>0.86599999999999999</v>
      </c>
      <c r="BV8" s="3"/>
      <c r="BW8" s="3"/>
      <c r="BX8" s="511">
        <f t="shared" ref="BX8:BX30" si="38">(BV8)-(BW8)</f>
        <v>0</v>
      </c>
      <c r="BY8" s="512" t="str">
        <f t="shared" ref="BY8:BY30" si="39">IF(BW8=0,"",(BV8)/(BW8))</f>
        <v/>
      </c>
      <c r="BZ8" s="3"/>
      <c r="CA8" s="3"/>
      <c r="CB8" s="511">
        <f t="shared" ref="CB8:CB30" si="40">(BZ8)-(CA8)</f>
        <v>0</v>
      </c>
      <c r="CC8" s="512" t="str">
        <f t="shared" ref="CC8:CC30" si="41">IF(CA8=0,"",(BZ8)/(CA8))</f>
        <v/>
      </c>
      <c r="CD8" s="3"/>
      <c r="CE8" s="3"/>
      <c r="CF8" s="511">
        <f t="shared" ref="CF8:CF30" si="42">(CD8)-(CE8)</f>
        <v>0</v>
      </c>
      <c r="CG8" s="512" t="str">
        <f t="shared" ref="CG8:CG30" si="43">IF(CE8=0,"",(CD8)/(CE8))</f>
        <v/>
      </c>
      <c r="CH8" s="3"/>
      <c r="CI8" s="3"/>
      <c r="CJ8" s="511">
        <f t="shared" ref="CJ8:CJ30" si="44">(CH8)-(CI8)</f>
        <v>0</v>
      </c>
      <c r="CK8" s="512" t="str">
        <f t="shared" ref="CK8:CK30" si="45">IF(CI8=0,"",(CH8)/(CI8))</f>
        <v/>
      </c>
      <c r="CL8" s="511">
        <f t="shared" ref="CL8:CM30" si="46">(CD8)+(CH8)</f>
        <v>0</v>
      </c>
      <c r="CM8" s="511">
        <f t="shared" si="46"/>
        <v>0</v>
      </c>
      <c r="CN8" s="511">
        <f t="shared" ref="CN8:CN30" si="47">(CL8)-(CM8)</f>
        <v>0</v>
      </c>
      <c r="CO8" s="512" t="str">
        <f t="shared" ref="CO8:CO30" si="48">IF(CM8=0,"",(CL8)/(CM8))</f>
        <v/>
      </c>
      <c r="CP8" s="3"/>
      <c r="CQ8" s="3"/>
      <c r="CR8" s="511">
        <f t="shared" ref="CR8:CR30" si="49">(CP8)-(CQ8)</f>
        <v>0</v>
      </c>
      <c r="CS8" s="512" t="str">
        <f t="shared" ref="CS8:CS30" si="50">IF(CQ8=0,"",(CP8)/(CQ8))</f>
        <v/>
      </c>
      <c r="CT8" s="3"/>
      <c r="CU8" s="3"/>
      <c r="CV8" s="511">
        <f t="shared" ref="CV8:CV30" si="51">(CT8)-(CU8)</f>
        <v>0</v>
      </c>
      <c r="CW8" s="512" t="str">
        <f t="shared" ref="CW8:CW30" si="52">IF(CU8=0,"",(CT8)/(CU8))</f>
        <v/>
      </c>
      <c r="CX8" s="511">
        <f t="shared" ref="CX8:CY30" si="53">(CP8)+(CT8)</f>
        <v>0</v>
      </c>
      <c r="CY8" s="511">
        <f t="shared" si="53"/>
        <v>0</v>
      </c>
      <c r="CZ8" s="511">
        <f t="shared" ref="CZ8:CZ30" si="54">(CX8)-(CY8)</f>
        <v>0</v>
      </c>
      <c r="DA8" s="512" t="str">
        <f t="shared" ref="DA8:DA30" si="55">IF(CY8=0,"",(CX8)/(CY8))</f>
        <v/>
      </c>
      <c r="DB8" s="3"/>
      <c r="DC8" s="3"/>
      <c r="DD8" s="511">
        <f t="shared" ref="DD8:DD30" si="56">(DB8)-(DC8)</f>
        <v>0</v>
      </c>
      <c r="DE8" s="512" t="str">
        <f t="shared" ref="DE8:DE30" si="57">IF(DC8=0,"",(DB8)/(DC8))</f>
        <v/>
      </c>
      <c r="DF8" s="3"/>
      <c r="DG8" s="3"/>
      <c r="DH8" s="511">
        <f t="shared" ref="DH8:DH30" si="58">(DF8)-(DG8)</f>
        <v>0</v>
      </c>
      <c r="DI8" s="512" t="str">
        <f t="shared" ref="DI8:DI30" si="59">IF(DG8=0,"",(DF8)/(DG8))</f>
        <v/>
      </c>
      <c r="DJ8" s="511">
        <f t="shared" ref="DJ8:DK30" si="60">(DB8)+(DF8)</f>
        <v>0</v>
      </c>
      <c r="DK8" s="511">
        <f t="shared" si="60"/>
        <v>0</v>
      </c>
      <c r="DL8" s="511">
        <f t="shared" ref="DL8:DL30" si="61">(DJ8)-(DK8)</f>
        <v>0</v>
      </c>
      <c r="DM8" s="512" t="str">
        <f t="shared" ref="DM8:DM30" si="62">IF(DK8=0,"",(DJ8)/(DK8))</f>
        <v/>
      </c>
      <c r="DN8" s="3"/>
      <c r="DO8" s="3"/>
      <c r="DP8" s="511">
        <f t="shared" ref="DP8:DP30" si="63">(DN8)-(DO8)</f>
        <v>0</v>
      </c>
      <c r="DQ8" s="512" t="str">
        <f t="shared" ref="DQ8:DQ30" si="64">IF(DO8=0,"",(DN8)/(DO8))</f>
        <v/>
      </c>
      <c r="DR8" s="511">
        <f t="shared" ref="DR8:DR30" si="65">((((((((((((B8)+(F8))+(J8))+(N8))+(R8))+(AX8))+(BR8))+(BV8))+(BZ8))+(CL8))+(CX8))+(DJ8))+(DN8)</f>
        <v>289000</v>
      </c>
      <c r="DS8" s="511">
        <f t="shared" ref="DS8:DS30" si="66">((((((((((((C8)+(G8))+(K8))+(O8))+(S8))+(AY8))+(BS8))+(BW8))+(CA8))+(CM8))+(CY8))+(DK8))+(DO8)</f>
        <v>325000</v>
      </c>
      <c r="DT8" s="511">
        <f t="shared" ref="DT8:DT30" si="67">(DR8)-(DS8)</f>
        <v>-36000</v>
      </c>
      <c r="DU8" s="512">
        <f t="shared" ref="DU8:DU30" si="68">IF(DS8=0,"",(DR8)/(DS8))</f>
        <v>0.88923076923076927</v>
      </c>
    </row>
    <row r="9" spans="1:125" x14ac:dyDescent="0.25">
      <c r="A9" s="2" t="s">
        <v>21</v>
      </c>
      <c r="B9" s="3"/>
      <c r="C9" s="3"/>
      <c r="D9" s="511">
        <f t="shared" si="0"/>
        <v>0</v>
      </c>
      <c r="E9" s="512" t="str">
        <f t="shared" si="1"/>
        <v/>
      </c>
      <c r="F9" s="3"/>
      <c r="G9" s="3"/>
      <c r="H9" s="511">
        <f t="shared" si="2"/>
        <v>0</v>
      </c>
      <c r="I9" s="512" t="str">
        <f t="shared" si="3"/>
        <v/>
      </c>
      <c r="J9" s="3"/>
      <c r="K9" s="3"/>
      <c r="L9" s="511">
        <f t="shared" si="4"/>
        <v>0</v>
      </c>
      <c r="M9" s="512" t="str">
        <f t="shared" si="5"/>
        <v/>
      </c>
      <c r="N9" s="3"/>
      <c r="O9" s="3"/>
      <c r="P9" s="511">
        <f t="shared" si="6"/>
        <v>0</v>
      </c>
      <c r="Q9" s="512" t="str">
        <f t="shared" si="7"/>
        <v/>
      </c>
      <c r="R9" s="3"/>
      <c r="S9" s="3"/>
      <c r="T9" s="511">
        <f t="shared" si="8"/>
        <v>0</v>
      </c>
      <c r="U9" s="512" t="str">
        <f t="shared" si="9"/>
        <v/>
      </c>
      <c r="V9" s="3"/>
      <c r="W9" s="3"/>
      <c r="X9" s="511">
        <f t="shared" si="10"/>
        <v>0</v>
      </c>
      <c r="Y9" s="512" t="str">
        <f t="shared" si="11"/>
        <v/>
      </c>
      <c r="Z9" s="3"/>
      <c r="AA9" s="3"/>
      <c r="AB9" s="511">
        <f t="shared" si="12"/>
        <v>0</v>
      </c>
      <c r="AC9" s="512" t="str">
        <f t="shared" si="13"/>
        <v/>
      </c>
      <c r="AD9" s="3"/>
      <c r="AE9" s="3"/>
      <c r="AF9" s="511">
        <f t="shared" si="14"/>
        <v>0</v>
      </c>
      <c r="AG9" s="512" t="str">
        <f t="shared" si="15"/>
        <v/>
      </c>
      <c r="AH9" s="3"/>
      <c r="AI9" s="3"/>
      <c r="AJ9" s="511">
        <f t="shared" si="16"/>
        <v>0</v>
      </c>
      <c r="AK9" s="512" t="str">
        <f t="shared" si="17"/>
        <v/>
      </c>
      <c r="AL9" s="3"/>
      <c r="AM9" s="3"/>
      <c r="AN9" s="511">
        <f t="shared" si="18"/>
        <v>0</v>
      </c>
      <c r="AO9" s="512" t="str">
        <f t="shared" si="19"/>
        <v/>
      </c>
      <c r="AP9" s="3"/>
      <c r="AQ9" s="3"/>
      <c r="AR9" s="511">
        <f t="shared" si="20"/>
        <v>0</v>
      </c>
      <c r="AS9" s="512" t="str">
        <f t="shared" si="21"/>
        <v/>
      </c>
      <c r="AT9" s="3"/>
      <c r="AU9" s="3"/>
      <c r="AV9" s="511">
        <f t="shared" si="22"/>
        <v>0</v>
      </c>
      <c r="AW9" s="512" t="str">
        <f t="shared" si="23"/>
        <v/>
      </c>
      <c r="AX9" s="511">
        <f t="shared" si="24"/>
        <v>0</v>
      </c>
      <c r="AY9" s="511">
        <f t="shared" si="24"/>
        <v>0</v>
      </c>
      <c r="AZ9" s="511">
        <f t="shared" si="25"/>
        <v>0</v>
      </c>
      <c r="BA9" s="512" t="str">
        <f t="shared" si="26"/>
        <v/>
      </c>
      <c r="BB9" s="3"/>
      <c r="BC9" s="3"/>
      <c r="BD9" s="511">
        <f t="shared" si="27"/>
        <v>0</v>
      </c>
      <c r="BE9" s="512" t="str">
        <f t="shared" si="28"/>
        <v/>
      </c>
      <c r="BF9" s="3"/>
      <c r="BG9" s="3"/>
      <c r="BH9" s="511">
        <f t="shared" si="29"/>
        <v>0</v>
      </c>
      <c r="BI9" s="512" t="str">
        <f t="shared" si="30"/>
        <v/>
      </c>
      <c r="BJ9" s="3"/>
      <c r="BK9" s="3"/>
      <c r="BL9" s="511">
        <f t="shared" si="31"/>
        <v>0</v>
      </c>
      <c r="BM9" s="512" t="str">
        <f t="shared" si="32"/>
        <v/>
      </c>
      <c r="BN9" s="3"/>
      <c r="BO9" s="3"/>
      <c r="BP9" s="511">
        <f t="shared" si="33"/>
        <v>0</v>
      </c>
      <c r="BQ9" s="512" t="str">
        <f t="shared" si="34"/>
        <v/>
      </c>
      <c r="BR9" s="511">
        <f t="shared" si="35"/>
        <v>0</v>
      </c>
      <c r="BS9" s="511">
        <f t="shared" si="35"/>
        <v>0</v>
      </c>
      <c r="BT9" s="511">
        <f t="shared" si="36"/>
        <v>0</v>
      </c>
      <c r="BU9" s="512" t="str">
        <f t="shared" si="37"/>
        <v/>
      </c>
      <c r="BV9" s="3"/>
      <c r="BW9" s="3"/>
      <c r="BX9" s="511">
        <f t="shared" si="38"/>
        <v>0</v>
      </c>
      <c r="BY9" s="512" t="str">
        <f t="shared" si="39"/>
        <v/>
      </c>
      <c r="BZ9" s="3"/>
      <c r="CA9" s="3"/>
      <c r="CB9" s="511">
        <f t="shared" si="40"/>
        <v>0</v>
      </c>
      <c r="CC9" s="512" t="str">
        <f t="shared" si="41"/>
        <v/>
      </c>
      <c r="CD9" s="3"/>
      <c r="CE9" s="3"/>
      <c r="CF9" s="511">
        <f t="shared" si="42"/>
        <v>0</v>
      </c>
      <c r="CG9" s="512" t="str">
        <f t="shared" si="43"/>
        <v/>
      </c>
      <c r="CH9" s="3"/>
      <c r="CI9" s="3"/>
      <c r="CJ9" s="511">
        <f t="shared" si="44"/>
        <v>0</v>
      </c>
      <c r="CK9" s="512" t="str">
        <f t="shared" si="45"/>
        <v/>
      </c>
      <c r="CL9" s="511">
        <f t="shared" si="46"/>
        <v>0</v>
      </c>
      <c r="CM9" s="511">
        <f t="shared" si="46"/>
        <v>0</v>
      </c>
      <c r="CN9" s="511">
        <f t="shared" si="47"/>
        <v>0</v>
      </c>
      <c r="CO9" s="512" t="str">
        <f t="shared" si="48"/>
        <v/>
      </c>
      <c r="CP9" s="3"/>
      <c r="CQ9" s="3"/>
      <c r="CR9" s="511">
        <f t="shared" si="49"/>
        <v>0</v>
      </c>
      <c r="CS9" s="512" t="str">
        <f t="shared" si="50"/>
        <v/>
      </c>
      <c r="CT9" s="3"/>
      <c r="CU9" s="3"/>
      <c r="CV9" s="511">
        <f t="shared" si="51"/>
        <v>0</v>
      </c>
      <c r="CW9" s="512" t="str">
        <f t="shared" si="52"/>
        <v/>
      </c>
      <c r="CX9" s="511">
        <f t="shared" si="53"/>
        <v>0</v>
      </c>
      <c r="CY9" s="511">
        <f t="shared" si="53"/>
        <v>0</v>
      </c>
      <c r="CZ9" s="511">
        <f t="shared" si="54"/>
        <v>0</v>
      </c>
      <c r="DA9" s="512" t="str">
        <f t="shared" si="55"/>
        <v/>
      </c>
      <c r="DB9" s="3"/>
      <c r="DC9" s="3"/>
      <c r="DD9" s="511">
        <f t="shared" si="56"/>
        <v>0</v>
      </c>
      <c r="DE9" s="512" t="str">
        <f t="shared" si="57"/>
        <v/>
      </c>
      <c r="DF9" s="3"/>
      <c r="DG9" s="3"/>
      <c r="DH9" s="511">
        <f t="shared" si="58"/>
        <v>0</v>
      </c>
      <c r="DI9" s="512" t="str">
        <f t="shared" si="59"/>
        <v/>
      </c>
      <c r="DJ9" s="511">
        <f t="shared" si="60"/>
        <v>0</v>
      </c>
      <c r="DK9" s="511">
        <f t="shared" si="60"/>
        <v>0</v>
      </c>
      <c r="DL9" s="511">
        <f t="shared" si="61"/>
        <v>0</v>
      </c>
      <c r="DM9" s="512" t="str">
        <f t="shared" si="62"/>
        <v/>
      </c>
      <c r="DN9" s="3"/>
      <c r="DO9" s="3"/>
      <c r="DP9" s="511">
        <f t="shared" si="63"/>
        <v>0</v>
      </c>
      <c r="DQ9" s="512" t="str">
        <f t="shared" si="64"/>
        <v/>
      </c>
      <c r="DR9" s="511">
        <f t="shared" si="65"/>
        <v>0</v>
      </c>
      <c r="DS9" s="511">
        <f t="shared" si="66"/>
        <v>0</v>
      </c>
      <c r="DT9" s="511">
        <f t="shared" si="67"/>
        <v>0</v>
      </c>
      <c r="DU9" s="512" t="str">
        <f t="shared" si="68"/>
        <v/>
      </c>
    </row>
    <row r="10" spans="1:125" x14ac:dyDescent="0.25">
      <c r="A10" s="2" t="s">
        <v>22</v>
      </c>
      <c r="B10" s="3"/>
      <c r="C10" s="3"/>
      <c r="D10" s="511">
        <f t="shared" si="0"/>
        <v>0</v>
      </c>
      <c r="E10" s="512" t="str">
        <f t="shared" si="1"/>
        <v/>
      </c>
      <c r="F10" s="511">
        <f>285950</f>
        <v>285950</v>
      </c>
      <c r="G10" s="511">
        <f>226914</f>
        <v>226914</v>
      </c>
      <c r="H10" s="511">
        <f t="shared" si="2"/>
        <v>59036</v>
      </c>
      <c r="I10" s="512">
        <f t="shared" si="3"/>
        <v>1.2601690508298298</v>
      </c>
      <c r="J10" s="3"/>
      <c r="K10" s="3"/>
      <c r="L10" s="511">
        <f t="shared" si="4"/>
        <v>0</v>
      </c>
      <c r="M10" s="512" t="str">
        <f t="shared" si="5"/>
        <v/>
      </c>
      <c r="N10" s="3"/>
      <c r="O10" s="3"/>
      <c r="P10" s="511">
        <f t="shared" si="6"/>
        <v>0</v>
      </c>
      <c r="Q10" s="512" t="str">
        <f t="shared" si="7"/>
        <v/>
      </c>
      <c r="R10" s="3"/>
      <c r="S10" s="3"/>
      <c r="T10" s="511">
        <f t="shared" si="8"/>
        <v>0</v>
      </c>
      <c r="U10" s="512" t="str">
        <f t="shared" si="9"/>
        <v/>
      </c>
      <c r="V10" s="3"/>
      <c r="W10" s="3"/>
      <c r="X10" s="511">
        <f t="shared" si="10"/>
        <v>0</v>
      </c>
      <c r="Y10" s="512" t="str">
        <f t="shared" si="11"/>
        <v/>
      </c>
      <c r="Z10" s="3"/>
      <c r="AA10" s="3"/>
      <c r="AB10" s="511">
        <f t="shared" si="12"/>
        <v>0</v>
      </c>
      <c r="AC10" s="512" t="str">
        <f t="shared" si="13"/>
        <v/>
      </c>
      <c r="AD10" s="3"/>
      <c r="AE10" s="3"/>
      <c r="AF10" s="511">
        <f t="shared" si="14"/>
        <v>0</v>
      </c>
      <c r="AG10" s="512" t="str">
        <f t="shared" si="15"/>
        <v/>
      </c>
      <c r="AH10" s="3"/>
      <c r="AI10" s="3"/>
      <c r="AJ10" s="511">
        <f t="shared" si="16"/>
        <v>0</v>
      </c>
      <c r="AK10" s="512" t="str">
        <f t="shared" si="17"/>
        <v/>
      </c>
      <c r="AL10" s="3"/>
      <c r="AM10" s="3"/>
      <c r="AN10" s="511">
        <f t="shared" si="18"/>
        <v>0</v>
      </c>
      <c r="AO10" s="512" t="str">
        <f t="shared" si="19"/>
        <v/>
      </c>
      <c r="AP10" s="3"/>
      <c r="AQ10" s="3"/>
      <c r="AR10" s="511">
        <f t="shared" si="20"/>
        <v>0</v>
      </c>
      <c r="AS10" s="512" t="str">
        <f t="shared" si="21"/>
        <v/>
      </c>
      <c r="AT10" s="3"/>
      <c r="AU10" s="3"/>
      <c r="AV10" s="511">
        <f t="shared" si="22"/>
        <v>0</v>
      </c>
      <c r="AW10" s="512" t="str">
        <f t="shared" si="23"/>
        <v/>
      </c>
      <c r="AX10" s="511">
        <f t="shared" si="24"/>
        <v>0</v>
      </c>
      <c r="AY10" s="511">
        <f t="shared" si="24"/>
        <v>0</v>
      </c>
      <c r="AZ10" s="511">
        <f t="shared" si="25"/>
        <v>0</v>
      </c>
      <c r="BA10" s="512" t="str">
        <f t="shared" si="26"/>
        <v/>
      </c>
      <c r="BB10" s="3"/>
      <c r="BC10" s="3"/>
      <c r="BD10" s="511">
        <f t="shared" si="27"/>
        <v>0</v>
      </c>
      <c r="BE10" s="512" t="str">
        <f t="shared" si="28"/>
        <v/>
      </c>
      <c r="BF10" s="3"/>
      <c r="BG10" s="3"/>
      <c r="BH10" s="511">
        <f t="shared" si="29"/>
        <v>0</v>
      </c>
      <c r="BI10" s="512" t="str">
        <f t="shared" si="30"/>
        <v/>
      </c>
      <c r="BJ10" s="3"/>
      <c r="BK10" s="3"/>
      <c r="BL10" s="511">
        <f t="shared" si="31"/>
        <v>0</v>
      </c>
      <c r="BM10" s="512" t="str">
        <f t="shared" si="32"/>
        <v/>
      </c>
      <c r="BN10" s="3"/>
      <c r="BO10" s="3"/>
      <c r="BP10" s="511">
        <f t="shared" si="33"/>
        <v>0</v>
      </c>
      <c r="BQ10" s="512" t="str">
        <f t="shared" si="34"/>
        <v/>
      </c>
      <c r="BR10" s="511">
        <f t="shared" si="35"/>
        <v>0</v>
      </c>
      <c r="BS10" s="511">
        <f t="shared" si="35"/>
        <v>0</v>
      </c>
      <c r="BT10" s="511">
        <f t="shared" si="36"/>
        <v>0</v>
      </c>
      <c r="BU10" s="512" t="str">
        <f t="shared" si="37"/>
        <v/>
      </c>
      <c r="BV10" s="3"/>
      <c r="BW10" s="3"/>
      <c r="BX10" s="511">
        <f t="shared" si="38"/>
        <v>0</v>
      </c>
      <c r="BY10" s="512" t="str">
        <f t="shared" si="39"/>
        <v/>
      </c>
      <c r="BZ10" s="3"/>
      <c r="CA10" s="3"/>
      <c r="CB10" s="511">
        <f t="shared" si="40"/>
        <v>0</v>
      </c>
      <c r="CC10" s="512" t="str">
        <f t="shared" si="41"/>
        <v/>
      </c>
      <c r="CD10" s="3"/>
      <c r="CE10" s="3"/>
      <c r="CF10" s="511">
        <f t="shared" si="42"/>
        <v>0</v>
      </c>
      <c r="CG10" s="512" t="str">
        <f t="shared" si="43"/>
        <v/>
      </c>
      <c r="CH10" s="3"/>
      <c r="CI10" s="3"/>
      <c r="CJ10" s="511">
        <f t="shared" si="44"/>
        <v>0</v>
      </c>
      <c r="CK10" s="512" t="str">
        <f t="shared" si="45"/>
        <v/>
      </c>
      <c r="CL10" s="511">
        <f t="shared" si="46"/>
        <v>0</v>
      </c>
      <c r="CM10" s="511">
        <f t="shared" si="46"/>
        <v>0</v>
      </c>
      <c r="CN10" s="511">
        <f t="shared" si="47"/>
        <v>0</v>
      </c>
      <c r="CO10" s="512" t="str">
        <f t="shared" si="48"/>
        <v/>
      </c>
      <c r="CP10" s="3"/>
      <c r="CQ10" s="3"/>
      <c r="CR10" s="511">
        <f t="shared" si="49"/>
        <v>0</v>
      </c>
      <c r="CS10" s="512" t="str">
        <f t="shared" si="50"/>
        <v/>
      </c>
      <c r="CT10" s="3"/>
      <c r="CU10" s="3"/>
      <c r="CV10" s="511">
        <f t="shared" si="51"/>
        <v>0</v>
      </c>
      <c r="CW10" s="512" t="str">
        <f t="shared" si="52"/>
        <v/>
      </c>
      <c r="CX10" s="511">
        <f t="shared" si="53"/>
        <v>0</v>
      </c>
      <c r="CY10" s="511">
        <f t="shared" si="53"/>
        <v>0</v>
      </c>
      <c r="CZ10" s="511">
        <f t="shared" si="54"/>
        <v>0</v>
      </c>
      <c r="DA10" s="512" t="str">
        <f t="shared" si="55"/>
        <v/>
      </c>
      <c r="DB10" s="3"/>
      <c r="DC10" s="3"/>
      <c r="DD10" s="511">
        <f t="shared" si="56"/>
        <v>0</v>
      </c>
      <c r="DE10" s="512" t="str">
        <f t="shared" si="57"/>
        <v/>
      </c>
      <c r="DF10" s="3"/>
      <c r="DG10" s="3"/>
      <c r="DH10" s="511">
        <f t="shared" si="58"/>
        <v>0</v>
      </c>
      <c r="DI10" s="512" t="str">
        <f t="shared" si="59"/>
        <v/>
      </c>
      <c r="DJ10" s="511">
        <f t="shared" si="60"/>
        <v>0</v>
      </c>
      <c r="DK10" s="511">
        <f t="shared" si="60"/>
        <v>0</v>
      </c>
      <c r="DL10" s="511">
        <f t="shared" si="61"/>
        <v>0</v>
      </c>
      <c r="DM10" s="512" t="str">
        <f t="shared" si="62"/>
        <v/>
      </c>
      <c r="DN10" s="3"/>
      <c r="DO10" s="3"/>
      <c r="DP10" s="511">
        <f t="shared" si="63"/>
        <v>0</v>
      </c>
      <c r="DQ10" s="512" t="str">
        <f t="shared" si="64"/>
        <v/>
      </c>
      <c r="DR10" s="511">
        <f t="shared" si="65"/>
        <v>285950</v>
      </c>
      <c r="DS10" s="511">
        <f t="shared" si="66"/>
        <v>226914</v>
      </c>
      <c r="DT10" s="511">
        <f t="shared" si="67"/>
        <v>59036</v>
      </c>
      <c r="DU10" s="512">
        <f t="shared" si="68"/>
        <v>1.2601690508298298</v>
      </c>
    </row>
    <row r="11" spans="1:125" x14ac:dyDescent="0.25">
      <c r="A11" s="2" t="s">
        <v>23</v>
      </c>
      <c r="B11" s="3"/>
      <c r="C11" s="3"/>
      <c r="D11" s="511">
        <f t="shared" si="0"/>
        <v>0</v>
      </c>
      <c r="E11" s="512" t="str">
        <f t="shared" si="1"/>
        <v/>
      </c>
      <c r="F11" s="511">
        <f>22500</f>
        <v>22500</v>
      </c>
      <c r="G11" s="3"/>
      <c r="H11" s="511">
        <f t="shared" si="2"/>
        <v>22500</v>
      </c>
      <c r="I11" s="512" t="str">
        <f t="shared" si="3"/>
        <v/>
      </c>
      <c r="J11" s="3"/>
      <c r="K11" s="3"/>
      <c r="L11" s="511">
        <f t="shared" si="4"/>
        <v>0</v>
      </c>
      <c r="M11" s="512" t="str">
        <f t="shared" si="5"/>
        <v/>
      </c>
      <c r="N11" s="3"/>
      <c r="O11" s="3"/>
      <c r="P11" s="511">
        <f t="shared" si="6"/>
        <v>0</v>
      </c>
      <c r="Q11" s="512" t="str">
        <f t="shared" si="7"/>
        <v/>
      </c>
      <c r="R11" s="3"/>
      <c r="S11" s="3"/>
      <c r="T11" s="511">
        <f t="shared" si="8"/>
        <v>0</v>
      </c>
      <c r="U11" s="512" t="str">
        <f t="shared" si="9"/>
        <v/>
      </c>
      <c r="V11" s="3"/>
      <c r="W11" s="3"/>
      <c r="X11" s="511">
        <f t="shared" si="10"/>
        <v>0</v>
      </c>
      <c r="Y11" s="512" t="str">
        <f t="shared" si="11"/>
        <v/>
      </c>
      <c r="Z11" s="3"/>
      <c r="AA11" s="3"/>
      <c r="AB11" s="511">
        <f t="shared" si="12"/>
        <v>0</v>
      </c>
      <c r="AC11" s="512" t="str">
        <f t="shared" si="13"/>
        <v/>
      </c>
      <c r="AD11" s="3"/>
      <c r="AE11" s="3"/>
      <c r="AF11" s="511">
        <f t="shared" si="14"/>
        <v>0</v>
      </c>
      <c r="AG11" s="512" t="str">
        <f t="shared" si="15"/>
        <v/>
      </c>
      <c r="AH11" s="3"/>
      <c r="AI11" s="3"/>
      <c r="AJ11" s="511">
        <f t="shared" si="16"/>
        <v>0</v>
      </c>
      <c r="AK11" s="512" t="str">
        <f t="shared" si="17"/>
        <v/>
      </c>
      <c r="AL11" s="3"/>
      <c r="AM11" s="3"/>
      <c r="AN11" s="511">
        <f t="shared" si="18"/>
        <v>0</v>
      </c>
      <c r="AO11" s="512" t="str">
        <f t="shared" si="19"/>
        <v/>
      </c>
      <c r="AP11" s="3"/>
      <c r="AQ11" s="3"/>
      <c r="AR11" s="511">
        <f t="shared" si="20"/>
        <v>0</v>
      </c>
      <c r="AS11" s="512" t="str">
        <f t="shared" si="21"/>
        <v/>
      </c>
      <c r="AT11" s="3"/>
      <c r="AU11" s="3"/>
      <c r="AV11" s="511">
        <f t="shared" si="22"/>
        <v>0</v>
      </c>
      <c r="AW11" s="512" t="str">
        <f t="shared" si="23"/>
        <v/>
      </c>
      <c r="AX11" s="511">
        <f t="shared" si="24"/>
        <v>0</v>
      </c>
      <c r="AY11" s="511">
        <f t="shared" si="24"/>
        <v>0</v>
      </c>
      <c r="AZ11" s="511">
        <f t="shared" si="25"/>
        <v>0</v>
      </c>
      <c r="BA11" s="512" t="str">
        <f t="shared" si="26"/>
        <v/>
      </c>
      <c r="BB11" s="3"/>
      <c r="BC11" s="3"/>
      <c r="BD11" s="511">
        <f t="shared" si="27"/>
        <v>0</v>
      </c>
      <c r="BE11" s="512" t="str">
        <f t="shared" si="28"/>
        <v/>
      </c>
      <c r="BF11" s="3"/>
      <c r="BG11" s="3"/>
      <c r="BH11" s="511">
        <f t="shared" si="29"/>
        <v>0</v>
      </c>
      <c r="BI11" s="512" t="str">
        <f t="shared" si="30"/>
        <v/>
      </c>
      <c r="BJ11" s="3"/>
      <c r="BK11" s="3"/>
      <c r="BL11" s="511">
        <f t="shared" si="31"/>
        <v>0</v>
      </c>
      <c r="BM11" s="512" t="str">
        <f t="shared" si="32"/>
        <v/>
      </c>
      <c r="BN11" s="3"/>
      <c r="BO11" s="3"/>
      <c r="BP11" s="511">
        <f t="shared" si="33"/>
        <v>0</v>
      </c>
      <c r="BQ11" s="512" t="str">
        <f t="shared" si="34"/>
        <v/>
      </c>
      <c r="BR11" s="511">
        <f t="shared" si="35"/>
        <v>0</v>
      </c>
      <c r="BS11" s="511">
        <f t="shared" si="35"/>
        <v>0</v>
      </c>
      <c r="BT11" s="511">
        <f t="shared" si="36"/>
        <v>0</v>
      </c>
      <c r="BU11" s="512" t="str">
        <f t="shared" si="37"/>
        <v/>
      </c>
      <c r="BV11" s="3"/>
      <c r="BW11" s="3"/>
      <c r="BX11" s="511">
        <f t="shared" si="38"/>
        <v>0</v>
      </c>
      <c r="BY11" s="512" t="str">
        <f t="shared" si="39"/>
        <v/>
      </c>
      <c r="BZ11" s="3"/>
      <c r="CA11" s="3"/>
      <c r="CB11" s="511">
        <f t="shared" si="40"/>
        <v>0</v>
      </c>
      <c r="CC11" s="512" t="str">
        <f t="shared" si="41"/>
        <v/>
      </c>
      <c r="CD11" s="3"/>
      <c r="CE11" s="3"/>
      <c r="CF11" s="511">
        <f t="shared" si="42"/>
        <v>0</v>
      </c>
      <c r="CG11" s="512" t="str">
        <f t="shared" si="43"/>
        <v/>
      </c>
      <c r="CH11" s="3"/>
      <c r="CI11" s="3"/>
      <c r="CJ11" s="511">
        <f t="shared" si="44"/>
        <v>0</v>
      </c>
      <c r="CK11" s="512" t="str">
        <f t="shared" si="45"/>
        <v/>
      </c>
      <c r="CL11" s="511">
        <f t="shared" si="46"/>
        <v>0</v>
      </c>
      <c r="CM11" s="511">
        <f t="shared" si="46"/>
        <v>0</v>
      </c>
      <c r="CN11" s="511">
        <f t="shared" si="47"/>
        <v>0</v>
      </c>
      <c r="CO11" s="512" t="str">
        <f t="shared" si="48"/>
        <v/>
      </c>
      <c r="CP11" s="3"/>
      <c r="CQ11" s="3"/>
      <c r="CR11" s="511">
        <f t="shared" si="49"/>
        <v>0</v>
      </c>
      <c r="CS11" s="512" t="str">
        <f t="shared" si="50"/>
        <v/>
      </c>
      <c r="CT11" s="3"/>
      <c r="CU11" s="3"/>
      <c r="CV11" s="511">
        <f t="shared" si="51"/>
        <v>0</v>
      </c>
      <c r="CW11" s="512" t="str">
        <f t="shared" si="52"/>
        <v/>
      </c>
      <c r="CX11" s="511">
        <f t="shared" si="53"/>
        <v>0</v>
      </c>
      <c r="CY11" s="511">
        <f t="shared" si="53"/>
        <v>0</v>
      </c>
      <c r="CZ11" s="511">
        <f t="shared" si="54"/>
        <v>0</v>
      </c>
      <c r="DA11" s="512" t="str">
        <f t="shared" si="55"/>
        <v/>
      </c>
      <c r="DB11" s="3"/>
      <c r="DC11" s="3"/>
      <c r="DD11" s="511">
        <f t="shared" si="56"/>
        <v>0</v>
      </c>
      <c r="DE11" s="512" t="str">
        <f t="shared" si="57"/>
        <v/>
      </c>
      <c r="DF11" s="3"/>
      <c r="DG11" s="3"/>
      <c r="DH11" s="511">
        <f t="shared" si="58"/>
        <v>0</v>
      </c>
      <c r="DI11" s="512" t="str">
        <f t="shared" si="59"/>
        <v/>
      </c>
      <c r="DJ11" s="511">
        <f t="shared" si="60"/>
        <v>0</v>
      </c>
      <c r="DK11" s="511">
        <f t="shared" si="60"/>
        <v>0</v>
      </c>
      <c r="DL11" s="511">
        <f t="shared" si="61"/>
        <v>0</v>
      </c>
      <c r="DM11" s="512" t="str">
        <f t="shared" si="62"/>
        <v/>
      </c>
      <c r="DN11" s="3"/>
      <c r="DO11" s="3"/>
      <c r="DP11" s="511">
        <f t="shared" si="63"/>
        <v>0</v>
      </c>
      <c r="DQ11" s="512" t="str">
        <f t="shared" si="64"/>
        <v/>
      </c>
      <c r="DR11" s="511">
        <f t="shared" si="65"/>
        <v>22500</v>
      </c>
      <c r="DS11" s="511">
        <f t="shared" si="66"/>
        <v>0</v>
      </c>
      <c r="DT11" s="511">
        <f t="shared" si="67"/>
        <v>22500</v>
      </c>
      <c r="DU11" s="512" t="str">
        <f t="shared" si="68"/>
        <v/>
      </c>
    </row>
    <row r="12" spans="1:125" x14ac:dyDescent="0.25">
      <c r="A12" s="2" t="s">
        <v>24</v>
      </c>
      <c r="B12" s="513">
        <f>((B9)+(B10))+(B11)</f>
        <v>0</v>
      </c>
      <c r="C12" s="513">
        <f>((C9)+(C10))+(C11)</f>
        <v>0</v>
      </c>
      <c r="D12" s="513">
        <f t="shared" si="0"/>
        <v>0</v>
      </c>
      <c r="E12" s="514" t="str">
        <f t="shared" si="1"/>
        <v/>
      </c>
      <c r="F12" s="513">
        <f>((F9)+(F10))+(F11)</f>
        <v>308450</v>
      </c>
      <c r="G12" s="513">
        <f>((G9)+(G10))+(G11)</f>
        <v>226914</v>
      </c>
      <c r="H12" s="513">
        <f t="shared" si="2"/>
        <v>81536</v>
      </c>
      <c r="I12" s="514">
        <f t="shared" si="3"/>
        <v>1.3593255594630564</v>
      </c>
      <c r="J12" s="513">
        <f>((J9)+(J10))+(J11)</f>
        <v>0</v>
      </c>
      <c r="K12" s="513">
        <f>((K9)+(K10))+(K11)</f>
        <v>0</v>
      </c>
      <c r="L12" s="513">
        <f t="shared" si="4"/>
        <v>0</v>
      </c>
      <c r="M12" s="514" t="str">
        <f t="shared" si="5"/>
        <v/>
      </c>
      <c r="N12" s="513">
        <f>((N9)+(N10))+(N11)</f>
        <v>0</v>
      </c>
      <c r="O12" s="513">
        <f>((O9)+(O10))+(O11)</f>
        <v>0</v>
      </c>
      <c r="P12" s="513">
        <f t="shared" si="6"/>
        <v>0</v>
      </c>
      <c r="Q12" s="514" t="str">
        <f t="shared" si="7"/>
        <v/>
      </c>
      <c r="R12" s="513">
        <f>((R9)+(R10))+(R11)</f>
        <v>0</v>
      </c>
      <c r="S12" s="513">
        <f>((S9)+(S10))+(S11)</f>
        <v>0</v>
      </c>
      <c r="T12" s="513">
        <f t="shared" si="8"/>
        <v>0</v>
      </c>
      <c r="U12" s="514" t="str">
        <f t="shared" si="9"/>
        <v/>
      </c>
      <c r="V12" s="513">
        <f>((V9)+(V10))+(V11)</f>
        <v>0</v>
      </c>
      <c r="W12" s="513">
        <f>((W9)+(W10))+(W11)</f>
        <v>0</v>
      </c>
      <c r="X12" s="513">
        <f t="shared" si="10"/>
        <v>0</v>
      </c>
      <c r="Y12" s="514" t="str">
        <f t="shared" si="11"/>
        <v/>
      </c>
      <c r="Z12" s="513">
        <f>((Z9)+(Z10))+(Z11)</f>
        <v>0</v>
      </c>
      <c r="AA12" s="513">
        <f>((AA9)+(AA10))+(AA11)</f>
        <v>0</v>
      </c>
      <c r="AB12" s="513">
        <f t="shared" si="12"/>
        <v>0</v>
      </c>
      <c r="AC12" s="514" t="str">
        <f t="shared" si="13"/>
        <v/>
      </c>
      <c r="AD12" s="513">
        <f>((AD9)+(AD10))+(AD11)</f>
        <v>0</v>
      </c>
      <c r="AE12" s="513">
        <f>((AE9)+(AE10))+(AE11)</f>
        <v>0</v>
      </c>
      <c r="AF12" s="513">
        <f t="shared" si="14"/>
        <v>0</v>
      </c>
      <c r="AG12" s="514" t="str">
        <f t="shared" si="15"/>
        <v/>
      </c>
      <c r="AH12" s="513">
        <f>((AH9)+(AH10))+(AH11)</f>
        <v>0</v>
      </c>
      <c r="AI12" s="513">
        <f>((AI9)+(AI10))+(AI11)</f>
        <v>0</v>
      </c>
      <c r="AJ12" s="513">
        <f t="shared" si="16"/>
        <v>0</v>
      </c>
      <c r="AK12" s="514" t="str">
        <f t="shared" si="17"/>
        <v/>
      </c>
      <c r="AL12" s="513">
        <f>((AL9)+(AL10))+(AL11)</f>
        <v>0</v>
      </c>
      <c r="AM12" s="513">
        <f>((AM9)+(AM10))+(AM11)</f>
        <v>0</v>
      </c>
      <c r="AN12" s="513">
        <f t="shared" si="18"/>
        <v>0</v>
      </c>
      <c r="AO12" s="514" t="str">
        <f t="shared" si="19"/>
        <v/>
      </c>
      <c r="AP12" s="513">
        <f>((AP9)+(AP10))+(AP11)</f>
        <v>0</v>
      </c>
      <c r="AQ12" s="513">
        <f>((AQ9)+(AQ10))+(AQ11)</f>
        <v>0</v>
      </c>
      <c r="AR12" s="513">
        <f t="shared" si="20"/>
        <v>0</v>
      </c>
      <c r="AS12" s="514" t="str">
        <f t="shared" si="21"/>
        <v/>
      </c>
      <c r="AT12" s="513">
        <f>((AT9)+(AT10))+(AT11)</f>
        <v>0</v>
      </c>
      <c r="AU12" s="513">
        <f>((AU9)+(AU10))+(AU11)</f>
        <v>0</v>
      </c>
      <c r="AV12" s="513">
        <f t="shared" si="22"/>
        <v>0</v>
      </c>
      <c r="AW12" s="514" t="str">
        <f t="shared" si="23"/>
        <v/>
      </c>
      <c r="AX12" s="513">
        <f t="shared" si="24"/>
        <v>0</v>
      </c>
      <c r="AY12" s="513">
        <f t="shared" si="24"/>
        <v>0</v>
      </c>
      <c r="AZ12" s="513">
        <f t="shared" si="25"/>
        <v>0</v>
      </c>
      <c r="BA12" s="514" t="str">
        <f t="shared" si="26"/>
        <v/>
      </c>
      <c r="BB12" s="513">
        <f>((BB9)+(BB10))+(BB11)</f>
        <v>0</v>
      </c>
      <c r="BC12" s="513">
        <f>((BC9)+(BC10))+(BC11)</f>
        <v>0</v>
      </c>
      <c r="BD12" s="513">
        <f t="shared" si="27"/>
        <v>0</v>
      </c>
      <c r="BE12" s="514" t="str">
        <f t="shared" si="28"/>
        <v/>
      </c>
      <c r="BF12" s="513">
        <f>((BF9)+(BF10))+(BF11)</f>
        <v>0</v>
      </c>
      <c r="BG12" s="513">
        <f>((BG9)+(BG10))+(BG11)</f>
        <v>0</v>
      </c>
      <c r="BH12" s="513">
        <f t="shared" si="29"/>
        <v>0</v>
      </c>
      <c r="BI12" s="514" t="str">
        <f t="shared" si="30"/>
        <v/>
      </c>
      <c r="BJ12" s="513">
        <f>((BJ9)+(BJ10))+(BJ11)</f>
        <v>0</v>
      </c>
      <c r="BK12" s="513">
        <f>((BK9)+(BK10))+(BK11)</f>
        <v>0</v>
      </c>
      <c r="BL12" s="513">
        <f t="shared" si="31"/>
        <v>0</v>
      </c>
      <c r="BM12" s="514" t="str">
        <f t="shared" si="32"/>
        <v/>
      </c>
      <c r="BN12" s="513">
        <f>((BN9)+(BN10))+(BN11)</f>
        <v>0</v>
      </c>
      <c r="BO12" s="513">
        <f>((BO9)+(BO10))+(BO11)</f>
        <v>0</v>
      </c>
      <c r="BP12" s="513">
        <f t="shared" si="33"/>
        <v>0</v>
      </c>
      <c r="BQ12" s="514" t="str">
        <f t="shared" si="34"/>
        <v/>
      </c>
      <c r="BR12" s="513">
        <f t="shared" si="35"/>
        <v>0</v>
      </c>
      <c r="BS12" s="513">
        <f t="shared" si="35"/>
        <v>0</v>
      </c>
      <c r="BT12" s="513">
        <f t="shared" si="36"/>
        <v>0</v>
      </c>
      <c r="BU12" s="514" t="str">
        <f t="shared" si="37"/>
        <v/>
      </c>
      <c r="BV12" s="513">
        <f>((BV9)+(BV10))+(BV11)</f>
        <v>0</v>
      </c>
      <c r="BW12" s="513">
        <f>((BW9)+(BW10))+(BW11)</f>
        <v>0</v>
      </c>
      <c r="BX12" s="513">
        <f t="shared" si="38"/>
        <v>0</v>
      </c>
      <c r="BY12" s="514" t="str">
        <f t="shared" si="39"/>
        <v/>
      </c>
      <c r="BZ12" s="513">
        <f>((BZ9)+(BZ10))+(BZ11)</f>
        <v>0</v>
      </c>
      <c r="CA12" s="513">
        <f>((CA9)+(CA10))+(CA11)</f>
        <v>0</v>
      </c>
      <c r="CB12" s="513">
        <f t="shared" si="40"/>
        <v>0</v>
      </c>
      <c r="CC12" s="514" t="str">
        <f t="shared" si="41"/>
        <v/>
      </c>
      <c r="CD12" s="513">
        <f>((CD9)+(CD10))+(CD11)</f>
        <v>0</v>
      </c>
      <c r="CE12" s="513">
        <f>((CE9)+(CE10))+(CE11)</f>
        <v>0</v>
      </c>
      <c r="CF12" s="513">
        <f t="shared" si="42"/>
        <v>0</v>
      </c>
      <c r="CG12" s="514" t="str">
        <f t="shared" si="43"/>
        <v/>
      </c>
      <c r="CH12" s="513">
        <f>((CH9)+(CH10))+(CH11)</f>
        <v>0</v>
      </c>
      <c r="CI12" s="513">
        <f>((CI9)+(CI10))+(CI11)</f>
        <v>0</v>
      </c>
      <c r="CJ12" s="513">
        <f t="shared" si="44"/>
        <v>0</v>
      </c>
      <c r="CK12" s="514" t="str">
        <f t="shared" si="45"/>
        <v/>
      </c>
      <c r="CL12" s="513">
        <f t="shared" si="46"/>
        <v>0</v>
      </c>
      <c r="CM12" s="513">
        <f t="shared" si="46"/>
        <v>0</v>
      </c>
      <c r="CN12" s="513">
        <f t="shared" si="47"/>
        <v>0</v>
      </c>
      <c r="CO12" s="514" t="str">
        <f t="shared" si="48"/>
        <v/>
      </c>
      <c r="CP12" s="513">
        <f>((CP9)+(CP10))+(CP11)</f>
        <v>0</v>
      </c>
      <c r="CQ12" s="513">
        <f>((CQ9)+(CQ10))+(CQ11)</f>
        <v>0</v>
      </c>
      <c r="CR12" s="513">
        <f t="shared" si="49"/>
        <v>0</v>
      </c>
      <c r="CS12" s="514" t="str">
        <f t="shared" si="50"/>
        <v/>
      </c>
      <c r="CT12" s="513">
        <f>((CT9)+(CT10))+(CT11)</f>
        <v>0</v>
      </c>
      <c r="CU12" s="513">
        <f>((CU9)+(CU10))+(CU11)</f>
        <v>0</v>
      </c>
      <c r="CV12" s="513">
        <f t="shared" si="51"/>
        <v>0</v>
      </c>
      <c r="CW12" s="514" t="str">
        <f t="shared" si="52"/>
        <v/>
      </c>
      <c r="CX12" s="513">
        <f t="shared" si="53"/>
        <v>0</v>
      </c>
      <c r="CY12" s="513">
        <f t="shared" si="53"/>
        <v>0</v>
      </c>
      <c r="CZ12" s="513">
        <f t="shared" si="54"/>
        <v>0</v>
      </c>
      <c r="DA12" s="514" t="str">
        <f t="shared" si="55"/>
        <v/>
      </c>
      <c r="DB12" s="513">
        <f>((DB9)+(DB10))+(DB11)</f>
        <v>0</v>
      </c>
      <c r="DC12" s="513">
        <f>((DC9)+(DC10))+(DC11)</f>
        <v>0</v>
      </c>
      <c r="DD12" s="513">
        <f t="shared" si="56"/>
        <v>0</v>
      </c>
      <c r="DE12" s="514" t="str">
        <f t="shared" si="57"/>
        <v/>
      </c>
      <c r="DF12" s="513">
        <f>((DF9)+(DF10))+(DF11)</f>
        <v>0</v>
      </c>
      <c r="DG12" s="513">
        <f>((DG9)+(DG10))+(DG11)</f>
        <v>0</v>
      </c>
      <c r="DH12" s="513">
        <f t="shared" si="58"/>
        <v>0</v>
      </c>
      <c r="DI12" s="514" t="str">
        <f t="shared" si="59"/>
        <v/>
      </c>
      <c r="DJ12" s="513">
        <f t="shared" si="60"/>
        <v>0</v>
      </c>
      <c r="DK12" s="513">
        <f t="shared" si="60"/>
        <v>0</v>
      </c>
      <c r="DL12" s="513">
        <f t="shared" si="61"/>
        <v>0</v>
      </c>
      <c r="DM12" s="514" t="str">
        <f t="shared" si="62"/>
        <v/>
      </c>
      <c r="DN12" s="513">
        <f>((DN9)+(DN10))+(DN11)</f>
        <v>0</v>
      </c>
      <c r="DO12" s="513">
        <f>((DO9)+(DO10))+(DO11)</f>
        <v>0</v>
      </c>
      <c r="DP12" s="513">
        <f t="shared" si="63"/>
        <v>0</v>
      </c>
      <c r="DQ12" s="514" t="str">
        <f t="shared" si="64"/>
        <v/>
      </c>
      <c r="DR12" s="513">
        <f t="shared" si="65"/>
        <v>308450</v>
      </c>
      <c r="DS12" s="513">
        <f t="shared" si="66"/>
        <v>226914</v>
      </c>
      <c r="DT12" s="513">
        <f t="shared" si="67"/>
        <v>81536</v>
      </c>
      <c r="DU12" s="514">
        <f t="shared" si="68"/>
        <v>1.3593255594630564</v>
      </c>
    </row>
    <row r="13" spans="1:125" x14ac:dyDescent="0.25">
      <c r="A13" s="2" t="s">
        <v>25</v>
      </c>
      <c r="B13" s="3"/>
      <c r="C13" s="3"/>
      <c r="D13" s="511">
        <f t="shared" si="0"/>
        <v>0</v>
      </c>
      <c r="E13" s="512" t="str">
        <f t="shared" si="1"/>
        <v/>
      </c>
      <c r="F13" s="3"/>
      <c r="G13" s="3"/>
      <c r="H13" s="511">
        <f t="shared" si="2"/>
        <v>0</v>
      </c>
      <c r="I13" s="512" t="str">
        <f t="shared" si="3"/>
        <v/>
      </c>
      <c r="J13" s="511">
        <f>111736.26</f>
        <v>111736.26</v>
      </c>
      <c r="K13" s="511">
        <f>125000</f>
        <v>125000</v>
      </c>
      <c r="L13" s="511">
        <f t="shared" si="4"/>
        <v>-13263.740000000005</v>
      </c>
      <c r="M13" s="512">
        <f t="shared" si="5"/>
        <v>0.89389007999999992</v>
      </c>
      <c r="N13" s="3"/>
      <c r="O13" s="3"/>
      <c r="P13" s="511">
        <f t="shared" si="6"/>
        <v>0</v>
      </c>
      <c r="Q13" s="512" t="str">
        <f t="shared" si="7"/>
        <v/>
      </c>
      <c r="R13" s="3"/>
      <c r="S13" s="3"/>
      <c r="T13" s="511">
        <f t="shared" si="8"/>
        <v>0</v>
      </c>
      <c r="U13" s="512" t="str">
        <f t="shared" si="9"/>
        <v/>
      </c>
      <c r="V13" s="3"/>
      <c r="W13" s="3"/>
      <c r="X13" s="511">
        <f t="shared" si="10"/>
        <v>0</v>
      </c>
      <c r="Y13" s="512" t="str">
        <f t="shared" si="11"/>
        <v/>
      </c>
      <c r="Z13" s="3"/>
      <c r="AA13" s="3"/>
      <c r="AB13" s="511">
        <f t="shared" si="12"/>
        <v>0</v>
      </c>
      <c r="AC13" s="512" t="str">
        <f t="shared" si="13"/>
        <v/>
      </c>
      <c r="AD13" s="3"/>
      <c r="AE13" s="3"/>
      <c r="AF13" s="511">
        <f t="shared" si="14"/>
        <v>0</v>
      </c>
      <c r="AG13" s="512" t="str">
        <f t="shared" si="15"/>
        <v/>
      </c>
      <c r="AH13" s="3"/>
      <c r="AI13" s="3"/>
      <c r="AJ13" s="511">
        <f t="shared" si="16"/>
        <v>0</v>
      </c>
      <c r="AK13" s="512" t="str">
        <f t="shared" si="17"/>
        <v/>
      </c>
      <c r="AL13" s="3"/>
      <c r="AM13" s="3"/>
      <c r="AN13" s="511">
        <f t="shared" si="18"/>
        <v>0</v>
      </c>
      <c r="AO13" s="512" t="str">
        <f t="shared" si="19"/>
        <v/>
      </c>
      <c r="AP13" s="3"/>
      <c r="AQ13" s="3"/>
      <c r="AR13" s="511">
        <f t="shared" si="20"/>
        <v>0</v>
      </c>
      <c r="AS13" s="512" t="str">
        <f t="shared" si="21"/>
        <v/>
      </c>
      <c r="AT13" s="3"/>
      <c r="AU13" s="3"/>
      <c r="AV13" s="511">
        <f t="shared" si="22"/>
        <v>0</v>
      </c>
      <c r="AW13" s="512" t="str">
        <f t="shared" si="23"/>
        <v/>
      </c>
      <c r="AX13" s="511">
        <f t="shared" si="24"/>
        <v>0</v>
      </c>
      <c r="AY13" s="511">
        <f t="shared" si="24"/>
        <v>0</v>
      </c>
      <c r="AZ13" s="511">
        <f t="shared" si="25"/>
        <v>0</v>
      </c>
      <c r="BA13" s="512" t="str">
        <f t="shared" si="26"/>
        <v/>
      </c>
      <c r="BB13" s="3"/>
      <c r="BC13" s="3"/>
      <c r="BD13" s="511">
        <f t="shared" si="27"/>
        <v>0</v>
      </c>
      <c r="BE13" s="512" t="str">
        <f t="shared" si="28"/>
        <v/>
      </c>
      <c r="BF13" s="3"/>
      <c r="BG13" s="3"/>
      <c r="BH13" s="511">
        <f t="shared" si="29"/>
        <v>0</v>
      </c>
      <c r="BI13" s="512" t="str">
        <f t="shared" si="30"/>
        <v/>
      </c>
      <c r="BJ13" s="3"/>
      <c r="BK13" s="3"/>
      <c r="BL13" s="511">
        <f t="shared" si="31"/>
        <v>0</v>
      </c>
      <c r="BM13" s="512" t="str">
        <f t="shared" si="32"/>
        <v/>
      </c>
      <c r="BN13" s="3"/>
      <c r="BO13" s="3"/>
      <c r="BP13" s="511">
        <f t="shared" si="33"/>
        <v>0</v>
      </c>
      <c r="BQ13" s="512" t="str">
        <f t="shared" si="34"/>
        <v/>
      </c>
      <c r="BR13" s="511">
        <f t="shared" si="35"/>
        <v>0</v>
      </c>
      <c r="BS13" s="511">
        <f t="shared" si="35"/>
        <v>0</v>
      </c>
      <c r="BT13" s="511">
        <f t="shared" si="36"/>
        <v>0</v>
      </c>
      <c r="BU13" s="512" t="str">
        <f t="shared" si="37"/>
        <v/>
      </c>
      <c r="BV13" s="3"/>
      <c r="BW13" s="3"/>
      <c r="BX13" s="511">
        <f t="shared" si="38"/>
        <v>0</v>
      </c>
      <c r="BY13" s="512" t="str">
        <f t="shared" si="39"/>
        <v/>
      </c>
      <c r="BZ13" s="3"/>
      <c r="CA13" s="3"/>
      <c r="CB13" s="511">
        <f t="shared" si="40"/>
        <v>0</v>
      </c>
      <c r="CC13" s="512" t="str">
        <f t="shared" si="41"/>
        <v/>
      </c>
      <c r="CD13" s="3"/>
      <c r="CE13" s="3"/>
      <c r="CF13" s="511">
        <f t="shared" si="42"/>
        <v>0</v>
      </c>
      <c r="CG13" s="512" t="str">
        <f t="shared" si="43"/>
        <v/>
      </c>
      <c r="CH13" s="3"/>
      <c r="CI13" s="3"/>
      <c r="CJ13" s="511">
        <f t="shared" si="44"/>
        <v>0</v>
      </c>
      <c r="CK13" s="512" t="str">
        <f t="shared" si="45"/>
        <v/>
      </c>
      <c r="CL13" s="511">
        <f t="shared" si="46"/>
        <v>0</v>
      </c>
      <c r="CM13" s="511">
        <f t="shared" si="46"/>
        <v>0</v>
      </c>
      <c r="CN13" s="511">
        <f t="shared" si="47"/>
        <v>0</v>
      </c>
      <c r="CO13" s="512" t="str">
        <f t="shared" si="48"/>
        <v/>
      </c>
      <c r="CP13" s="3"/>
      <c r="CQ13" s="3"/>
      <c r="CR13" s="511">
        <f t="shared" si="49"/>
        <v>0</v>
      </c>
      <c r="CS13" s="512" t="str">
        <f t="shared" si="50"/>
        <v/>
      </c>
      <c r="CT13" s="3"/>
      <c r="CU13" s="3"/>
      <c r="CV13" s="511">
        <f t="shared" si="51"/>
        <v>0</v>
      </c>
      <c r="CW13" s="512" t="str">
        <f t="shared" si="52"/>
        <v/>
      </c>
      <c r="CX13" s="511">
        <f t="shared" si="53"/>
        <v>0</v>
      </c>
      <c r="CY13" s="511">
        <f t="shared" si="53"/>
        <v>0</v>
      </c>
      <c r="CZ13" s="511">
        <f t="shared" si="54"/>
        <v>0</v>
      </c>
      <c r="DA13" s="512" t="str">
        <f t="shared" si="55"/>
        <v/>
      </c>
      <c r="DB13" s="3"/>
      <c r="DC13" s="3"/>
      <c r="DD13" s="511">
        <f t="shared" si="56"/>
        <v>0</v>
      </c>
      <c r="DE13" s="512" t="str">
        <f t="shared" si="57"/>
        <v/>
      </c>
      <c r="DF13" s="3"/>
      <c r="DG13" s="3"/>
      <c r="DH13" s="511">
        <f t="shared" si="58"/>
        <v>0</v>
      </c>
      <c r="DI13" s="512" t="str">
        <f t="shared" si="59"/>
        <v/>
      </c>
      <c r="DJ13" s="511">
        <f t="shared" si="60"/>
        <v>0</v>
      </c>
      <c r="DK13" s="511">
        <f t="shared" si="60"/>
        <v>0</v>
      </c>
      <c r="DL13" s="511">
        <f t="shared" si="61"/>
        <v>0</v>
      </c>
      <c r="DM13" s="512" t="str">
        <f t="shared" si="62"/>
        <v/>
      </c>
      <c r="DN13" s="3"/>
      <c r="DO13" s="3"/>
      <c r="DP13" s="511">
        <f t="shared" si="63"/>
        <v>0</v>
      </c>
      <c r="DQ13" s="512" t="str">
        <f t="shared" si="64"/>
        <v/>
      </c>
      <c r="DR13" s="511">
        <f t="shared" si="65"/>
        <v>111736.26</v>
      </c>
      <c r="DS13" s="511">
        <f t="shared" si="66"/>
        <v>125000</v>
      </c>
      <c r="DT13" s="511">
        <f t="shared" si="67"/>
        <v>-13263.740000000005</v>
      </c>
      <c r="DU13" s="512">
        <f t="shared" si="68"/>
        <v>0.89389007999999992</v>
      </c>
    </row>
    <row r="14" spans="1:125" x14ac:dyDescent="0.25">
      <c r="A14" s="2" t="s">
        <v>26</v>
      </c>
      <c r="B14" s="511">
        <f>33636.92</f>
        <v>33636.92</v>
      </c>
      <c r="C14" s="511">
        <f>30000</f>
        <v>30000</v>
      </c>
      <c r="D14" s="511">
        <f t="shared" si="0"/>
        <v>3636.9199999999983</v>
      </c>
      <c r="E14" s="512">
        <f t="shared" si="1"/>
        <v>1.1212306666666667</v>
      </c>
      <c r="F14" s="3"/>
      <c r="G14" s="3"/>
      <c r="H14" s="511">
        <f t="shared" si="2"/>
        <v>0</v>
      </c>
      <c r="I14" s="512" t="str">
        <f t="shared" si="3"/>
        <v/>
      </c>
      <c r="J14" s="3"/>
      <c r="K14" s="3"/>
      <c r="L14" s="511">
        <f t="shared" si="4"/>
        <v>0</v>
      </c>
      <c r="M14" s="512" t="str">
        <f t="shared" si="5"/>
        <v/>
      </c>
      <c r="N14" s="511">
        <f>100910.76</f>
        <v>100910.76</v>
      </c>
      <c r="O14" s="3"/>
      <c r="P14" s="511">
        <f t="shared" si="6"/>
        <v>100910.76</v>
      </c>
      <c r="Q14" s="512" t="str">
        <f t="shared" si="7"/>
        <v/>
      </c>
      <c r="R14" s="3"/>
      <c r="S14" s="3"/>
      <c r="T14" s="511">
        <f t="shared" si="8"/>
        <v>0</v>
      </c>
      <c r="U14" s="512" t="str">
        <f t="shared" si="9"/>
        <v/>
      </c>
      <c r="V14" s="3"/>
      <c r="W14" s="3"/>
      <c r="X14" s="511">
        <f t="shared" si="10"/>
        <v>0</v>
      </c>
      <c r="Y14" s="512" t="str">
        <f t="shared" si="11"/>
        <v/>
      </c>
      <c r="Z14" s="3"/>
      <c r="AA14" s="3"/>
      <c r="AB14" s="511">
        <f t="shared" si="12"/>
        <v>0</v>
      </c>
      <c r="AC14" s="512" t="str">
        <f t="shared" si="13"/>
        <v/>
      </c>
      <c r="AD14" s="3"/>
      <c r="AE14" s="3"/>
      <c r="AF14" s="511">
        <f t="shared" si="14"/>
        <v>0</v>
      </c>
      <c r="AG14" s="512" t="str">
        <f t="shared" si="15"/>
        <v/>
      </c>
      <c r="AH14" s="3"/>
      <c r="AI14" s="3"/>
      <c r="AJ14" s="511">
        <f t="shared" si="16"/>
        <v>0</v>
      </c>
      <c r="AK14" s="512" t="str">
        <f t="shared" si="17"/>
        <v/>
      </c>
      <c r="AL14" s="3"/>
      <c r="AM14" s="3"/>
      <c r="AN14" s="511">
        <f t="shared" si="18"/>
        <v>0</v>
      </c>
      <c r="AO14" s="512" t="str">
        <f t="shared" si="19"/>
        <v/>
      </c>
      <c r="AP14" s="3"/>
      <c r="AQ14" s="3"/>
      <c r="AR14" s="511">
        <f t="shared" si="20"/>
        <v>0</v>
      </c>
      <c r="AS14" s="512" t="str">
        <f t="shared" si="21"/>
        <v/>
      </c>
      <c r="AT14" s="3"/>
      <c r="AU14" s="3"/>
      <c r="AV14" s="511">
        <f t="shared" si="22"/>
        <v>0</v>
      </c>
      <c r="AW14" s="512" t="str">
        <f t="shared" si="23"/>
        <v/>
      </c>
      <c r="AX14" s="511">
        <f t="shared" si="24"/>
        <v>0</v>
      </c>
      <c r="AY14" s="511">
        <f t="shared" si="24"/>
        <v>0</v>
      </c>
      <c r="AZ14" s="511">
        <f t="shared" si="25"/>
        <v>0</v>
      </c>
      <c r="BA14" s="512" t="str">
        <f t="shared" si="26"/>
        <v/>
      </c>
      <c r="BB14" s="3"/>
      <c r="BC14" s="3"/>
      <c r="BD14" s="511">
        <f t="shared" si="27"/>
        <v>0</v>
      </c>
      <c r="BE14" s="512" t="str">
        <f t="shared" si="28"/>
        <v/>
      </c>
      <c r="BF14" s="3"/>
      <c r="BG14" s="3"/>
      <c r="BH14" s="511">
        <f t="shared" si="29"/>
        <v>0</v>
      </c>
      <c r="BI14" s="512" t="str">
        <f t="shared" si="30"/>
        <v/>
      </c>
      <c r="BJ14" s="3"/>
      <c r="BK14" s="3"/>
      <c r="BL14" s="511">
        <f t="shared" si="31"/>
        <v>0</v>
      </c>
      <c r="BM14" s="512" t="str">
        <f t="shared" si="32"/>
        <v/>
      </c>
      <c r="BN14" s="3"/>
      <c r="BO14" s="3"/>
      <c r="BP14" s="511">
        <f t="shared" si="33"/>
        <v>0</v>
      </c>
      <c r="BQ14" s="512" t="str">
        <f t="shared" si="34"/>
        <v/>
      </c>
      <c r="BR14" s="511">
        <f t="shared" si="35"/>
        <v>0</v>
      </c>
      <c r="BS14" s="511">
        <f t="shared" si="35"/>
        <v>0</v>
      </c>
      <c r="BT14" s="511">
        <f t="shared" si="36"/>
        <v>0</v>
      </c>
      <c r="BU14" s="512" t="str">
        <f t="shared" si="37"/>
        <v/>
      </c>
      <c r="BV14" s="3"/>
      <c r="BW14" s="3"/>
      <c r="BX14" s="511">
        <f t="shared" si="38"/>
        <v>0</v>
      </c>
      <c r="BY14" s="512" t="str">
        <f t="shared" si="39"/>
        <v/>
      </c>
      <c r="BZ14" s="3"/>
      <c r="CA14" s="3"/>
      <c r="CB14" s="511">
        <f t="shared" si="40"/>
        <v>0</v>
      </c>
      <c r="CC14" s="512" t="str">
        <f t="shared" si="41"/>
        <v/>
      </c>
      <c r="CD14" s="3"/>
      <c r="CE14" s="3"/>
      <c r="CF14" s="511">
        <f t="shared" si="42"/>
        <v>0</v>
      </c>
      <c r="CG14" s="512" t="str">
        <f t="shared" si="43"/>
        <v/>
      </c>
      <c r="CH14" s="3"/>
      <c r="CI14" s="3"/>
      <c r="CJ14" s="511">
        <f t="shared" si="44"/>
        <v>0</v>
      </c>
      <c r="CK14" s="512" t="str">
        <f t="shared" si="45"/>
        <v/>
      </c>
      <c r="CL14" s="511">
        <f t="shared" si="46"/>
        <v>0</v>
      </c>
      <c r="CM14" s="511">
        <f t="shared" si="46"/>
        <v>0</v>
      </c>
      <c r="CN14" s="511">
        <f t="shared" si="47"/>
        <v>0</v>
      </c>
      <c r="CO14" s="512" t="str">
        <f t="shared" si="48"/>
        <v/>
      </c>
      <c r="CP14" s="3"/>
      <c r="CQ14" s="3"/>
      <c r="CR14" s="511">
        <f t="shared" si="49"/>
        <v>0</v>
      </c>
      <c r="CS14" s="512" t="str">
        <f t="shared" si="50"/>
        <v/>
      </c>
      <c r="CT14" s="3"/>
      <c r="CU14" s="3"/>
      <c r="CV14" s="511">
        <f t="shared" si="51"/>
        <v>0</v>
      </c>
      <c r="CW14" s="512" t="str">
        <f t="shared" si="52"/>
        <v/>
      </c>
      <c r="CX14" s="511">
        <f t="shared" si="53"/>
        <v>0</v>
      </c>
      <c r="CY14" s="511">
        <f t="shared" si="53"/>
        <v>0</v>
      </c>
      <c r="CZ14" s="511">
        <f t="shared" si="54"/>
        <v>0</v>
      </c>
      <c r="DA14" s="512" t="str">
        <f t="shared" si="55"/>
        <v/>
      </c>
      <c r="DB14" s="3"/>
      <c r="DC14" s="3"/>
      <c r="DD14" s="511">
        <f t="shared" si="56"/>
        <v>0</v>
      </c>
      <c r="DE14" s="512" t="str">
        <f t="shared" si="57"/>
        <v/>
      </c>
      <c r="DF14" s="3"/>
      <c r="DG14" s="3"/>
      <c r="DH14" s="511">
        <f t="shared" si="58"/>
        <v>0</v>
      </c>
      <c r="DI14" s="512" t="str">
        <f t="shared" si="59"/>
        <v/>
      </c>
      <c r="DJ14" s="511">
        <f t="shared" si="60"/>
        <v>0</v>
      </c>
      <c r="DK14" s="511">
        <f t="shared" si="60"/>
        <v>0</v>
      </c>
      <c r="DL14" s="511">
        <f t="shared" si="61"/>
        <v>0</v>
      </c>
      <c r="DM14" s="512" t="str">
        <f t="shared" si="62"/>
        <v/>
      </c>
      <c r="DN14" s="3"/>
      <c r="DO14" s="3"/>
      <c r="DP14" s="511">
        <f t="shared" si="63"/>
        <v>0</v>
      </c>
      <c r="DQ14" s="512" t="str">
        <f t="shared" si="64"/>
        <v/>
      </c>
      <c r="DR14" s="511">
        <f t="shared" si="65"/>
        <v>134547.68</v>
      </c>
      <c r="DS14" s="511">
        <f t="shared" si="66"/>
        <v>30000</v>
      </c>
      <c r="DT14" s="511">
        <f t="shared" si="67"/>
        <v>104547.68</v>
      </c>
      <c r="DU14" s="512">
        <f t="shared" si="68"/>
        <v>4.4849226666666668</v>
      </c>
    </row>
    <row r="15" spans="1:125" x14ac:dyDescent="0.25">
      <c r="A15" s="2" t="s">
        <v>27</v>
      </c>
      <c r="B15" s="3"/>
      <c r="C15" s="3"/>
      <c r="D15" s="511">
        <f t="shared" si="0"/>
        <v>0</v>
      </c>
      <c r="E15" s="512" t="str">
        <f t="shared" si="1"/>
        <v/>
      </c>
      <c r="F15" s="3"/>
      <c r="G15" s="3"/>
      <c r="H15" s="511">
        <f t="shared" si="2"/>
        <v>0</v>
      </c>
      <c r="I15" s="512" t="str">
        <f t="shared" si="3"/>
        <v/>
      </c>
      <c r="J15" s="3"/>
      <c r="K15" s="3"/>
      <c r="L15" s="511">
        <f t="shared" si="4"/>
        <v>0</v>
      </c>
      <c r="M15" s="512" t="str">
        <f t="shared" si="5"/>
        <v/>
      </c>
      <c r="N15" s="3"/>
      <c r="O15" s="3"/>
      <c r="P15" s="511">
        <f t="shared" si="6"/>
        <v>0</v>
      </c>
      <c r="Q15" s="512" t="str">
        <f t="shared" si="7"/>
        <v/>
      </c>
      <c r="R15" s="3"/>
      <c r="S15" s="3"/>
      <c r="T15" s="511">
        <f t="shared" si="8"/>
        <v>0</v>
      </c>
      <c r="U15" s="512" t="str">
        <f t="shared" si="9"/>
        <v/>
      </c>
      <c r="V15" s="3"/>
      <c r="W15" s="3"/>
      <c r="X15" s="511">
        <f t="shared" si="10"/>
        <v>0</v>
      </c>
      <c r="Y15" s="512" t="str">
        <f t="shared" si="11"/>
        <v/>
      </c>
      <c r="Z15" s="3"/>
      <c r="AA15" s="3"/>
      <c r="AB15" s="511">
        <f t="shared" si="12"/>
        <v>0</v>
      </c>
      <c r="AC15" s="512" t="str">
        <f t="shared" si="13"/>
        <v/>
      </c>
      <c r="AD15" s="3"/>
      <c r="AE15" s="3"/>
      <c r="AF15" s="511">
        <f t="shared" si="14"/>
        <v>0</v>
      </c>
      <c r="AG15" s="512" t="str">
        <f t="shared" si="15"/>
        <v/>
      </c>
      <c r="AH15" s="3"/>
      <c r="AI15" s="3"/>
      <c r="AJ15" s="511">
        <f t="shared" si="16"/>
        <v>0</v>
      </c>
      <c r="AK15" s="512" t="str">
        <f t="shared" si="17"/>
        <v/>
      </c>
      <c r="AL15" s="3"/>
      <c r="AM15" s="3"/>
      <c r="AN15" s="511">
        <f t="shared" si="18"/>
        <v>0</v>
      </c>
      <c r="AO15" s="512" t="str">
        <f t="shared" si="19"/>
        <v/>
      </c>
      <c r="AP15" s="3"/>
      <c r="AQ15" s="3"/>
      <c r="AR15" s="511">
        <f t="shared" si="20"/>
        <v>0</v>
      </c>
      <c r="AS15" s="512" t="str">
        <f t="shared" si="21"/>
        <v/>
      </c>
      <c r="AT15" s="3"/>
      <c r="AU15" s="3"/>
      <c r="AV15" s="511">
        <f t="shared" si="22"/>
        <v>0</v>
      </c>
      <c r="AW15" s="512" t="str">
        <f t="shared" si="23"/>
        <v/>
      </c>
      <c r="AX15" s="511">
        <f t="shared" si="24"/>
        <v>0</v>
      </c>
      <c r="AY15" s="511">
        <f t="shared" si="24"/>
        <v>0</v>
      </c>
      <c r="AZ15" s="511">
        <f t="shared" si="25"/>
        <v>0</v>
      </c>
      <c r="BA15" s="512" t="str">
        <f t="shared" si="26"/>
        <v/>
      </c>
      <c r="BB15" s="3"/>
      <c r="BC15" s="3"/>
      <c r="BD15" s="511">
        <f t="shared" si="27"/>
        <v>0</v>
      </c>
      <c r="BE15" s="512" t="str">
        <f t="shared" si="28"/>
        <v/>
      </c>
      <c r="BF15" s="3"/>
      <c r="BG15" s="3"/>
      <c r="BH15" s="511">
        <f t="shared" si="29"/>
        <v>0</v>
      </c>
      <c r="BI15" s="512" t="str">
        <f t="shared" si="30"/>
        <v/>
      </c>
      <c r="BJ15" s="3"/>
      <c r="BK15" s="3"/>
      <c r="BL15" s="511">
        <f t="shared" si="31"/>
        <v>0</v>
      </c>
      <c r="BM15" s="512" t="str">
        <f t="shared" si="32"/>
        <v/>
      </c>
      <c r="BN15" s="3"/>
      <c r="BO15" s="3"/>
      <c r="BP15" s="511">
        <f t="shared" si="33"/>
        <v>0</v>
      </c>
      <c r="BQ15" s="512" t="str">
        <f t="shared" si="34"/>
        <v/>
      </c>
      <c r="BR15" s="511">
        <f t="shared" si="35"/>
        <v>0</v>
      </c>
      <c r="BS15" s="511">
        <f t="shared" si="35"/>
        <v>0</v>
      </c>
      <c r="BT15" s="511">
        <f t="shared" si="36"/>
        <v>0</v>
      </c>
      <c r="BU15" s="512" t="str">
        <f t="shared" si="37"/>
        <v/>
      </c>
      <c r="BV15" s="511">
        <f>63523.65</f>
        <v>63523.65</v>
      </c>
      <c r="BW15" s="511">
        <f>70088.63</f>
        <v>70088.63</v>
      </c>
      <c r="BX15" s="511">
        <f t="shared" si="38"/>
        <v>-6564.9800000000032</v>
      </c>
      <c r="BY15" s="512">
        <f t="shared" si="39"/>
        <v>0.90633316702010003</v>
      </c>
      <c r="BZ15" s="511">
        <f>69300</f>
        <v>69300</v>
      </c>
      <c r="CA15" s="511">
        <f>69300</f>
        <v>69300</v>
      </c>
      <c r="CB15" s="511">
        <f t="shared" si="40"/>
        <v>0</v>
      </c>
      <c r="CC15" s="512">
        <f t="shared" si="41"/>
        <v>1</v>
      </c>
      <c r="CD15" s="511">
        <f>1950.66</f>
        <v>1950.66</v>
      </c>
      <c r="CE15" s="3"/>
      <c r="CF15" s="511">
        <f t="shared" si="42"/>
        <v>1950.66</v>
      </c>
      <c r="CG15" s="512" t="str">
        <f t="shared" si="43"/>
        <v/>
      </c>
      <c r="CH15" s="3"/>
      <c r="CI15" s="3"/>
      <c r="CJ15" s="511">
        <f t="shared" si="44"/>
        <v>0</v>
      </c>
      <c r="CK15" s="512" t="str">
        <f t="shared" si="45"/>
        <v/>
      </c>
      <c r="CL15" s="511">
        <f t="shared" si="46"/>
        <v>1950.66</v>
      </c>
      <c r="CM15" s="511">
        <f t="shared" si="46"/>
        <v>0</v>
      </c>
      <c r="CN15" s="511">
        <f t="shared" si="47"/>
        <v>1950.66</v>
      </c>
      <c r="CO15" s="512" t="str">
        <f t="shared" si="48"/>
        <v/>
      </c>
      <c r="CP15" s="511">
        <f>14250.41</f>
        <v>14250.41</v>
      </c>
      <c r="CQ15" s="3"/>
      <c r="CR15" s="511">
        <f t="shared" si="49"/>
        <v>14250.41</v>
      </c>
      <c r="CS15" s="512" t="str">
        <f t="shared" si="50"/>
        <v/>
      </c>
      <c r="CT15" s="511">
        <f>25862.19</f>
        <v>25862.19</v>
      </c>
      <c r="CU15" s="511">
        <f>40000</f>
        <v>40000</v>
      </c>
      <c r="CV15" s="511">
        <f t="shared" si="51"/>
        <v>-14137.810000000001</v>
      </c>
      <c r="CW15" s="512">
        <f t="shared" si="52"/>
        <v>0.64655474999999996</v>
      </c>
      <c r="CX15" s="511">
        <f t="shared" si="53"/>
        <v>40112.6</v>
      </c>
      <c r="CY15" s="511">
        <f t="shared" si="53"/>
        <v>40000</v>
      </c>
      <c r="CZ15" s="511">
        <f t="shared" si="54"/>
        <v>112.59999999999854</v>
      </c>
      <c r="DA15" s="512">
        <f t="shared" si="55"/>
        <v>1.002815</v>
      </c>
      <c r="DB15" s="3"/>
      <c r="DC15" s="3"/>
      <c r="DD15" s="511">
        <f t="shared" si="56"/>
        <v>0</v>
      </c>
      <c r="DE15" s="512" t="str">
        <f t="shared" si="57"/>
        <v/>
      </c>
      <c r="DF15" s="3"/>
      <c r="DG15" s="3"/>
      <c r="DH15" s="511">
        <f t="shared" si="58"/>
        <v>0</v>
      </c>
      <c r="DI15" s="512" t="str">
        <f t="shared" si="59"/>
        <v/>
      </c>
      <c r="DJ15" s="511">
        <f t="shared" si="60"/>
        <v>0</v>
      </c>
      <c r="DK15" s="511">
        <f t="shared" si="60"/>
        <v>0</v>
      </c>
      <c r="DL15" s="511">
        <f t="shared" si="61"/>
        <v>0</v>
      </c>
      <c r="DM15" s="512" t="str">
        <f t="shared" si="62"/>
        <v/>
      </c>
      <c r="DN15" s="3"/>
      <c r="DO15" s="3"/>
      <c r="DP15" s="511">
        <f t="shared" si="63"/>
        <v>0</v>
      </c>
      <c r="DQ15" s="512" t="str">
        <f t="shared" si="64"/>
        <v/>
      </c>
      <c r="DR15" s="511">
        <f t="shared" si="65"/>
        <v>174886.91</v>
      </c>
      <c r="DS15" s="511">
        <f t="shared" si="66"/>
        <v>179388.63</v>
      </c>
      <c r="DT15" s="511">
        <f t="shared" si="67"/>
        <v>-4501.7200000000012</v>
      </c>
      <c r="DU15" s="512">
        <f t="shared" si="68"/>
        <v>0.97490520999017605</v>
      </c>
    </row>
    <row r="16" spans="1:125" x14ac:dyDescent="0.25">
      <c r="A16" s="2" t="s">
        <v>28</v>
      </c>
      <c r="B16" s="3"/>
      <c r="C16" s="3"/>
      <c r="D16" s="511">
        <f t="shared" si="0"/>
        <v>0</v>
      </c>
      <c r="E16" s="512" t="str">
        <f t="shared" si="1"/>
        <v/>
      </c>
      <c r="F16" s="3"/>
      <c r="G16" s="3"/>
      <c r="H16" s="511">
        <f t="shared" si="2"/>
        <v>0</v>
      </c>
      <c r="I16" s="512" t="str">
        <f t="shared" si="3"/>
        <v/>
      </c>
      <c r="J16" s="3"/>
      <c r="K16" s="3"/>
      <c r="L16" s="511">
        <f t="shared" si="4"/>
        <v>0</v>
      </c>
      <c r="M16" s="512" t="str">
        <f t="shared" si="5"/>
        <v/>
      </c>
      <c r="N16" s="3"/>
      <c r="O16" s="3"/>
      <c r="P16" s="511">
        <f t="shared" si="6"/>
        <v>0</v>
      </c>
      <c r="Q16" s="512" t="str">
        <f t="shared" si="7"/>
        <v/>
      </c>
      <c r="R16" s="3"/>
      <c r="S16" s="3"/>
      <c r="T16" s="511">
        <f t="shared" si="8"/>
        <v>0</v>
      </c>
      <c r="U16" s="512" t="str">
        <f t="shared" si="9"/>
        <v/>
      </c>
      <c r="V16" s="3"/>
      <c r="W16" s="3"/>
      <c r="X16" s="511">
        <f t="shared" si="10"/>
        <v>0</v>
      </c>
      <c r="Y16" s="512" t="str">
        <f t="shared" si="11"/>
        <v/>
      </c>
      <c r="Z16" s="3"/>
      <c r="AA16" s="3"/>
      <c r="AB16" s="511">
        <f t="shared" si="12"/>
        <v>0</v>
      </c>
      <c r="AC16" s="512" t="str">
        <f t="shared" si="13"/>
        <v/>
      </c>
      <c r="AD16" s="3"/>
      <c r="AE16" s="3"/>
      <c r="AF16" s="511">
        <f t="shared" si="14"/>
        <v>0</v>
      </c>
      <c r="AG16" s="512" t="str">
        <f t="shared" si="15"/>
        <v/>
      </c>
      <c r="AH16" s="3"/>
      <c r="AI16" s="3"/>
      <c r="AJ16" s="511">
        <f t="shared" si="16"/>
        <v>0</v>
      </c>
      <c r="AK16" s="512" t="str">
        <f t="shared" si="17"/>
        <v/>
      </c>
      <c r="AL16" s="3"/>
      <c r="AM16" s="3"/>
      <c r="AN16" s="511">
        <f t="shared" si="18"/>
        <v>0</v>
      </c>
      <c r="AO16" s="512" t="str">
        <f t="shared" si="19"/>
        <v/>
      </c>
      <c r="AP16" s="3"/>
      <c r="AQ16" s="3"/>
      <c r="AR16" s="511">
        <f t="shared" si="20"/>
        <v>0</v>
      </c>
      <c r="AS16" s="512" t="str">
        <f t="shared" si="21"/>
        <v/>
      </c>
      <c r="AT16" s="3"/>
      <c r="AU16" s="3"/>
      <c r="AV16" s="511">
        <f t="shared" si="22"/>
        <v>0</v>
      </c>
      <c r="AW16" s="512" t="str">
        <f t="shared" si="23"/>
        <v/>
      </c>
      <c r="AX16" s="511">
        <f t="shared" si="24"/>
        <v>0</v>
      </c>
      <c r="AY16" s="511">
        <f t="shared" si="24"/>
        <v>0</v>
      </c>
      <c r="AZ16" s="511">
        <f t="shared" si="25"/>
        <v>0</v>
      </c>
      <c r="BA16" s="512" t="str">
        <f t="shared" si="26"/>
        <v/>
      </c>
      <c r="BB16" s="3"/>
      <c r="BC16" s="3"/>
      <c r="BD16" s="511">
        <f t="shared" si="27"/>
        <v>0</v>
      </c>
      <c r="BE16" s="512" t="str">
        <f t="shared" si="28"/>
        <v/>
      </c>
      <c r="BF16" s="3"/>
      <c r="BG16" s="3"/>
      <c r="BH16" s="511">
        <f t="shared" si="29"/>
        <v>0</v>
      </c>
      <c r="BI16" s="512" t="str">
        <f t="shared" si="30"/>
        <v/>
      </c>
      <c r="BJ16" s="3"/>
      <c r="BK16" s="3"/>
      <c r="BL16" s="511">
        <f t="shared" si="31"/>
        <v>0</v>
      </c>
      <c r="BM16" s="512" t="str">
        <f t="shared" si="32"/>
        <v/>
      </c>
      <c r="BN16" s="3"/>
      <c r="BO16" s="3"/>
      <c r="BP16" s="511">
        <f t="shared" si="33"/>
        <v>0</v>
      </c>
      <c r="BQ16" s="512" t="str">
        <f t="shared" si="34"/>
        <v/>
      </c>
      <c r="BR16" s="511">
        <f t="shared" si="35"/>
        <v>0</v>
      </c>
      <c r="BS16" s="511">
        <f t="shared" si="35"/>
        <v>0</v>
      </c>
      <c r="BT16" s="511">
        <f t="shared" si="36"/>
        <v>0</v>
      </c>
      <c r="BU16" s="512" t="str">
        <f t="shared" si="37"/>
        <v/>
      </c>
      <c r="BV16" s="3"/>
      <c r="BW16" s="3"/>
      <c r="BX16" s="511">
        <f t="shared" si="38"/>
        <v>0</v>
      </c>
      <c r="BY16" s="512" t="str">
        <f t="shared" si="39"/>
        <v/>
      </c>
      <c r="BZ16" s="3"/>
      <c r="CA16" s="3"/>
      <c r="CB16" s="511">
        <f t="shared" si="40"/>
        <v>0</v>
      </c>
      <c r="CC16" s="512" t="str">
        <f t="shared" si="41"/>
        <v/>
      </c>
      <c r="CD16" s="3"/>
      <c r="CE16" s="3"/>
      <c r="CF16" s="511">
        <f t="shared" si="42"/>
        <v>0</v>
      </c>
      <c r="CG16" s="512" t="str">
        <f t="shared" si="43"/>
        <v/>
      </c>
      <c r="CH16" s="511">
        <f>3786.01</f>
        <v>3786.01</v>
      </c>
      <c r="CI16" s="3"/>
      <c r="CJ16" s="511">
        <f t="shared" si="44"/>
        <v>3786.01</v>
      </c>
      <c r="CK16" s="512" t="str">
        <f t="shared" si="45"/>
        <v/>
      </c>
      <c r="CL16" s="511">
        <f t="shared" si="46"/>
        <v>3786.01</v>
      </c>
      <c r="CM16" s="511">
        <f t="shared" si="46"/>
        <v>0</v>
      </c>
      <c r="CN16" s="511">
        <f t="shared" si="47"/>
        <v>3786.01</v>
      </c>
      <c r="CO16" s="512" t="str">
        <f t="shared" si="48"/>
        <v/>
      </c>
      <c r="CP16" s="3"/>
      <c r="CQ16" s="3"/>
      <c r="CR16" s="511">
        <f t="shared" si="49"/>
        <v>0</v>
      </c>
      <c r="CS16" s="512" t="str">
        <f t="shared" si="50"/>
        <v/>
      </c>
      <c r="CT16" s="3"/>
      <c r="CU16" s="3"/>
      <c r="CV16" s="511">
        <f t="shared" si="51"/>
        <v>0</v>
      </c>
      <c r="CW16" s="512" t="str">
        <f t="shared" si="52"/>
        <v/>
      </c>
      <c r="CX16" s="511">
        <f t="shared" si="53"/>
        <v>0</v>
      </c>
      <c r="CY16" s="511">
        <f t="shared" si="53"/>
        <v>0</v>
      </c>
      <c r="CZ16" s="511">
        <f t="shared" si="54"/>
        <v>0</v>
      </c>
      <c r="DA16" s="512" t="str">
        <f t="shared" si="55"/>
        <v/>
      </c>
      <c r="DB16" s="3"/>
      <c r="DC16" s="3"/>
      <c r="DD16" s="511">
        <f t="shared" si="56"/>
        <v>0</v>
      </c>
      <c r="DE16" s="512" t="str">
        <f t="shared" si="57"/>
        <v/>
      </c>
      <c r="DF16" s="3"/>
      <c r="DG16" s="3"/>
      <c r="DH16" s="511">
        <f t="shared" si="58"/>
        <v>0</v>
      </c>
      <c r="DI16" s="512" t="str">
        <f t="shared" si="59"/>
        <v/>
      </c>
      <c r="DJ16" s="511">
        <f t="shared" si="60"/>
        <v>0</v>
      </c>
      <c r="DK16" s="511">
        <f t="shared" si="60"/>
        <v>0</v>
      </c>
      <c r="DL16" s="511">
        <f t="shared" si="61"/>
        <v>0</v>
      </c>
      <c r="DM16" s="512" t="str">
        <f t="shared" si="62"/>
        <v/>
      </c>
      <c r="DN16" s="3"/>
      <c r="DO16" s="3"/>
      <c r="DP16" s="511">
        <f t="shared" si="63"/>
        <v>0</v>
      </c>
      <c r="DQ16" s="512" t="str">
        <f t="shared" si="64"/>
        <v/>
      </c>
      <c r="DR16" s="511">
        <f t="shared" si="65"/>
        <v>3786.01</v>
      </c>
      <c r="DS16" s="511">
        <f t="shared" si="66"/>
        <v>0</v>
      </c>
      <c r="DT16" s="511">
        <f t="shared" si="67"/>
        <v>3786.01</v>
      </c>
      <c r="DU16" s="512" t="str">
        <f t="shared" si="68"/>
        <v/>
      </c>
    </row>
    <row r="17" spans="1:125" x14ac:dyDescent="0.25">
      <c r="A17" s="2" t="s">
        <v>705</v>
      </c>
      <c r="B17" s="3"/>
      <c r="C17" s="3"/>
      <c r="D17" s="511">
        <f t="shared" si="0"/>
        <v>0</v>
      </c>
      <c r="E17" s="512" t="str">
        <f t="shared" si="1"/>
        <v/>
      </c>
      <c r="F17" s="3"/>
      <c r="G17" s="3"/>
      <c r="H17" s="511">
        <f t="shared" si="2"/>
        <v>0</v>
      </c>
      <c r="I17" s="512" t="str">
        <f t="shared" si="3"/>
        <v/>
      </c>
      <c r="J17" s="3"/>
      <c r="K17" s="3"/>
      <c r="L17" s="511">
        <f t="shared" si="4"/>
        <v>0</v>
      </c>
      <c r="M17" s="512" t="str">
        <f t="shared" si="5"/>
        <v/>
      </c>
      <c r="N17" s="3"/>
      <c r="O17" s="3"/>
      <c r="P17" s="511">
        <f t="shared" si="6"/>
        <v>0</v>
      </c>
      <c r="Q17" s="512" t="str">
        <f t="shared" si="7"/>
        <v/>
      </c>
      <c r="R17" s="3"/>
      <c r="S17" s="3"/>
      <c r="T17" s="511">
        <f t="shared" si="8"/>
        <v>0</v>
      </c>
      <c r="U17" s="512" t="str">
        <f t="shared" si="9"/>
        <v/>
      </c>
      <c r="V17" s="3"/>
      <c r="W17" s="3"/>
      <c r="X17" s="511">
        <f t="shared" si="10"/>
        <v>0</v>
      </c>
      <c r="Y17" s="512" t="str">
        <f t="shared" si="11"/>
        <v/>
      </c>
      <c r="Z17" s="3"/>
      <c r="AA17" s="3"/>
      <c r="AB17" s="511">
        <f t="shared" si="12"/>
        <v>0</v>
      </c>
      <c r="AC17" s="512" t="str">
        <f t="shared" si="13"/>
        <v/>
      </c>
      <c r="AD17" s="3"/>
      <c r="AE17" s="3"/>
      <c r="AF17" s="511">
        <f t="shared" si="14"/>
        <v>0</v>
      </c>
      <c r="AG17" s="512" t="str">
        <f t="shared" si="15"/>
        <v/>
      </c>
      <c r="AH17" s="3"/>
      <c r="AI17" s="3"/>
      <c r="AJ17" s="511">
        <f t="shared" si="16"/>
        <v>0</v>
      </c>
      <c r="AK17" s="512" t="str">
        <f t="shared" si="17"/>
        <v/>
      </c>
      <c r="AL17" s="3"/>
      <c r="AM17" s="3"/>
      <c r="AN17" s="511">
        <f t="shared" si="18"/>
        <v>0</v>
      </c>
      <c r="AO17" s="512" t="str">
        <f t="shared" si="19"/>
        <v/>
      </c>
      <c r="AP17" s="3"/>
      <c r="AQ17" s="3"/>
      <c r="AR17" s="511">
        <f t="shared" si="20"/>
        <v>0</v>
      </c>
      <c r="AS17" s="512" t="str">
        <f t="shared" si="21"/>
        <v/>
      </c>
      <c r="AT17" s="3"/>
      <c r="AU17" s="3"/>
      <c r="AV17" s="511">
        <f t="shared" si="22"/>
        <v>0</v>
      </c>
      <c r="AW17" s="512" t="str">
        <f t="shared" si="23"/>
        <v/>
      </c>
      <c r="AX17" s="511">
        <f t="shared" si="24"/>
        <v>0</v>
      </c>
      <c r="AY17" s="511">
        <f t="shared" si="24"/>
        <v>0</v>
      </c>
      <c r="AZ17" s="511">
        <f t="shared" si="25"/>
        <v>0</v>
      </c>
      <c r="BA17" s="512" t="str">
        <f t="shared" si="26"/>
        <v/>
      </c>
      <c r="BB17" s="3"/>
      <c r="BC17" s="3"/>
      <c r="BD17" s="511">
        <f t="shared" si="27"/>
        <v>0</v>
      </c>
      <c r="BE17" s="512" t="str">
        <f t="shared" si="28"/>
        <v/>
      </c>
      <c r="BF17" s="3"/>
      <c r="BG17" s="3"/>
      <c r="BH17" s="511">
        <f t="shared" si="29"/>
        <v>0</v>
      </c>
      <c r="BI17" s="512" t="str">
        <f t="shared" si="30"/>
        <v/>
      </c>
      <c r="BJ17" s="3"/>
      <c r="BK17" s="3"/>
      <c r="BL17" s="511">
        <f t="shared" si="31"/>
        <v>0</v>
      </c>
      <c r="BM17" s="512" t="str">
        <f t="shared" si="32"/>
        <v/>
      </c>
      <c r="BN17" s="3"/>
      <c r="BO17" s="3"/>
      <c r="BP17" s="511">
        <f t="shared" si="33"/>
        <v>0</v>
      </c>
      <c r="BQ17" s="512" t="str">
        <f t="shared" si="34"/>
        <v/>
      </c>
      <c r="BR17" s="511">
        <f t="shared" si="35"/>
        <v>0</v>
      </c>
      <c r="BS17" s="511">
        <f t="shared" si="35"/>
        <v>0</v>
      </c>
      <c r="BT17" s="511">
        <f t="shared" si="36"/>
        <v>0</v>
      </c>
      <c r="BU17" s="512" t="str">
        <f t="shared" si="37"/>
        <v/>
      </c>
      <c r="BV17" s="3"/>
      <c r="BW17" s="3"/>
      <c r="BX17" s="511">
        <f t="shared" si="38"/>
        <v>0</v>
      </c>
      <c r="BY17" s="512" t="str">
        <f t="shared" si="39"/>
        <v/>
      </c>
      <c r="BZ17" s="3"/>
      <c r="CA17" s="3"/>
      <c r="CB17" s="511">
        <f t="shared" si="40"/>
        <v>0</v>
      </c>
      <c r="CC17" s="512" t="str">
        <f t="shared" si="41"/>
        <v/>
      </c>
      <c r="CD17" s="3"/>
      <c r="CE17" s="3"/>
      <c r="CF17" s="511">
        <f t="shared" si="42"/>
        <v>0</v>
      </c>
      <c r="CG17" s="512" t="str">
        <f t="shared" si="43"/>
        <v/>
      </c>
      <c r="CH17" s="3"/>
      <c r="CI17" s="3"/>
      <c r="CJ17" s="511">
        <f t="shared" si="44"/>
        <v>0</v>
      </c>
      <c r="CK17" s="512" t="str">
        <f t="shared" si="45"/>
        <v/>
      </c>
      <c r="CL17" s="511">
        <f t="shared" si="46"/>
        <v>0</v>
      </c>
      <c r="CM17" s="511">
        <f t="shared" si="46"/>
        <v>0</v>
      </c>
      <c r="CN17" s="511">
        <f t="shared" si="47"/>
        <v>0</v>
      </c>
      <c r="CO17" s="512" t="str">
        <f t="shared" si="48"/>
        <v/>
      </c>
      <c r="CP17" s="3"/>
      <c r="CQ17" s="3"/>
      <c r="CR17" s="511">
        <f t="shared" si="49"/>
        <v>0</v>
      </c>
      <c r="CS17" s="512" t="str">
        <f t="shared" si="50"/>
        <v/>
      </c>
      <c r="CT17" s="3"/>
      <c r="CU17" s="3"/>
      <c r="CV17" s="511">
        <f t="shared" si="51"/>
        <v>0</v>
      </c>
      <c r="CW17" s="512" t="str">
        <f t="shared" si="52"/>
        <v/>
      </c>
      <c r="CX17" s="511">
        <f t="shared" si="53"/>
        <v>0</v>
      </c>
      <c r="CY17" s="511">
        <f t="shared" si="53"/>
        <v>0</v>
      </c>
      <c r="CZ17" s="511">
        <f t="shared" si="54"/>
        <v>0</v>
      </c>
      <c r="DA17" s="512" t="str">
        <f t="shared" si="55"/>
        <v/>
      </c>
      <c r="DB17" s="511">
        <f>17569.71</f>
        <v>17569.71</v>
      </c>
      <c r="DC17" s="3"/>
      <c r="DD17" s="511">
        <f t="shared" si="56"/>
        <v>17569.71</v>
      </c>
      <c r="DE17" s="512" t="str">
        <f t="shared" si="57"/>
        <v/>
      </c>
      <c r="DF17" s="3"/>
      <c r="DG17" s="3"/>
      <c r="DH17" s="511">
        <f t="shared" si="58"/>
        <v>0</v>
      </c>
      <c r="DI17" s="512" t="str">
        <f t="shared" si="59"/>
        <v/>
      </c>
      <c r="DJ17" s="511">
        <f t="shared" si="60"/>
        <v>17569.71</v>
      </c>
      <c r="DK17" s="511">
        <f t="shared" si="60"/>
        <v>0</v>
      </c>
      <c r="DL17" s="511">
        <f t="shared" si="61"/>
        <v>17569.71</v>
      </c>
      <c r="DM17" s="512" t="str">
        <f t="shared" si="62"/>
        <v/>
      </c>
      <c r="DN17" s="3"/>
      <c r="DO17" s="3"/>
      <c r="DP17" s="511">
        <f t="shared" si="63"/>
        <v>0</v>
      </c>
      <c r="DQ17" s="512" t="str">
        <f t="shared" si="64"/>
        <v/>
      </c>
      <c r="DR17" s="511">
        <f t="shared" si="65"/>
        <v>17569.71</v>
      </c>
      <c r="DS17" s="511">
        <f t="shared" si="66"/>
        <v>0</v>
      </c>
      <c r="DT17" s="511">
        <f t="shared" si="67"/>
        <v>17569.71</v>
      </c>
      <c r="DU17" s="512" t="str">
        <f t="shared" si="68"/>
        <v/>
      </c>
    </row>
    <row r="18" spans="1:125" x14ac:dyDescent="0.25">
      <c r="A18" s="2" t="s">
        <v>29</v>
      </c>
      <c r="B18" s="511">
        <f>42739</f>
        <v>42739</v>
      </c>
      <c r="C18" s="511">
        <f>23200.5</f>
        <v>23200.5</v>
      </c>
      <c r="D18" s="511">
        <f t="shared" si="0"/>
        <v>19538.5</v>
      </c>
      <c r="E18" s="512">
        <f t="shared" si="1"/>
        <v>1.8421585741686601</v>
      </c>
      <c r="F18" s="3"/>
      <c r="G18" s="3"/>
      <c r="H18" s="511">
        <f t="shared" si="2"/>
        <v>0</v>
      </c>
      <c r="I18" s="512" t="str">
        <f t="shared" si="3"/>
        <v/>
      </c>
      <c r="J18" s="3"/>
      <c r="K18" s="3"/>
      <c r="L18" s="511">
        <f t="shared" si="4"/>
        <v>0</v>
      </c>
      <c r="M18" s="512" t="str">
        <f t="shared" si="5"/>
        <v/>
      </c>
      <c r="N18" s="3"/>
      <c r="O18" s="3"/>
      <c r="P18" s="511">
        <f t="shared" si="6"/>
        <v>0</v>
      </c>
      <c r="Q18" s="512" t="str">
        <f t="shared" si="7"/>
        <v/>
      </c>
      <c r="R18" s="3"/>
      <c r="S18" s="3"/>
      <c r="T18" s="511">
        <f t="shared" si="8"/>
        <v>0</v>
      </c>
      <c r="U18" s="512" t="str">
        <f t="shared" si="9"/>
        <v/>
      </c>
      <c r="V18" s="3"/>
      <c r="W18" s="3"/>
      <c r="X18" s="511">
        <f t="shared" si="10"/>
        <v>0</v>
      </c>
      <c r="Y18" s="512" t="str">
        <f t="shared" si="11"/>
        <v/>
      </c>
      <c r="Z18" s="3"/>
      <c r="AA18" s="3"/>
      <c r="AB18" s="511">
        <f t="shared" si="12"/>
        <v>0</v>
      </c>
      <c r="AC18" s="512" t="str">
        <f t="shared" si="13"/>
        <v/>
      </c>
      <c r="AD18" s="3"/>
      <c r="AE18" s="3"/>
      <c r="AF18" s="511">
        <f t="shared" si="14"/>
        <v>0</v>
      </c>
      <c r="AG18" s="512" t="str">
        <f t="shared" si="15"/>
        <v/>
      </c>
      <c r="AH18" s="3"/>
      <c r="AI18" s="3"/>
      <c r="AJ18" s="511">
        <f t="shared" si="16"/>
        <v>0</v>
      </c>
      <c r="AK18" s="512" t="str">
        <f t="shared" si="17"/>
        <v/>
      </c>
      <c r="AL18" s="3"/>
      <c r="AM18" s="3"/>
      <c r="AN18" s="511">
        <f t="shared" si="18"/>
        <v>0</v>
      </c>
      <c r="AO18" s="512" t="str">
        <f t="shared" si="19"/>
        <v/>
      </c>
      <c r="AP18" s="3"/>
      <c r="AQ18" s="3"/>
      <c r="AR18" s="511">
        <f t="shared" si="20"/>
        <v>0</v>
      </c>
      <c r="AS18" s="512" t="str">
        <f t="shared" si="21"/>
        <v/>
      </c>
      <c r="AT18" s="3"/>
      <c r="AU18" s="3"/>
      <c r="AV18" s="511">
        <f t="shared" si="22"/>
        <v>0</v>
      </c>
      <c r="AW18" s="512" t="str">
        <f t="shared" si="23"/>
        <v/>
      </c>
      <c r="AX18" s="511">
        <f t="shared" si="24"/>
        <v>0</v>
      </c>
      <c r="AY18" s="511">
        <f t="shared" si="24"/>
        <v>0</v>
      </c>
      <c r="AZ18" s="511">
        <f t="shared" si="25"/>
        <v>0</v>
      </c>
      <c r="BA18" s="512" t="str">
        <f t="shared" si="26"/>
        <v/>
      </c>
      <c r="BB18" s="3"/>
      <c r="BC18" s="3"/>
      <c r="BD18" s="511">
        <f t="shared" si="27"/>
        <v>0</v>
      </c>
      <c r="BE18" s="512" t="str">
        <f t="shared" si="28"/>
        <v/>
      </c>
      <c r="BF18" s="3"/>
      <c r="BG18" s="3"/>
      <c r="BH18" s="511">
        <f t="shared" si="29"/>
        <v>0</v>
      </c>
      <c r="BI18" s="512" t="str">
        <f t="shared" si="30"/>
        <v/>
      </c>
      <c r="BJ18" s="3"/>
      <c r="BK18" s="3"/>
      <c r="BL18" s="511">
        <f t="shared" si="31"/>
        <v>0</v>
      </c>
      <c r="BM18" s="512" t="str">
        <f t="shared" si="32"/>
        <v/>
      </c>
      <c r="BN18" s="3"/>
      <c r="BO18" s="3"/>
      <c r="BP18" s="511">
        <f t="shared" si="33"/>
        <v>0</v>
      </c>
      <c r="BQ18" s="512" t="str">
        <f t="shared" si="34"/>
        <v/>
      </c>
      <c r="BR18" s="511">
        <f t="shared" si="35"/>
        <v>0</v>
      </c>
      <c r="BS18" s="511">
        <f t="shared" si="35"/>
        <v>0</v>
      </c>
      <c r="BT18" s="511">
        <f t="shared" si="36"/>
        <v>0</v>
      </c>
      <c r="BU18" s="512" t="str">
        <f t="shared" si="37"/>
        <v/>
      </c>
      <c r="BV18" s="3"/>
      <c r="BW18" s="3"/>
      <c r="BX18" s="511">
        <f t="shared" si="38"/>
        <v>0</v>
      </c>
      <c r="BY18" s="512" t="str">
        <f t="shared" si="39"/>
        <v/>
      </c>
      <c r="BZ18" s="3"/>
      <c r="CA18" s="3"/>
      <c r="CB18" s="511">
        <f t="shared" si="40"/>
        <v>0</v>
      </c>
      <c r="CC18" s="512" t="str">
        <f t="shared" si="41"/>
        <v/>
      </c>
      <c r="CD18" s="3"/>
      <c r="CE18" s="3"/>
      <c r="CF18" s="511">
        <f t="shared" si="42"/>
        <v>0</v>
      </c>
      <c r="CG18" s="512" t="str">
        <f t="shared" si="43"/>
        <v/>
      </c>
      <c r="CH18" s="3"/>
      <c r="CI18" s="3"/>
      <c r="CJ18" s="511">
        <f t="shared" si="44"/>
        <v>0</v>
      </c>
      <c r="CK18" s="512" t="str">
        <f t="shared" si="45"/>
        <v/>
      </c>
      <c r="CL18" s="511">
        <f t="shared" si="46"/>
        <v>0</v>
      </c>
      <c r="CM18" s="511">
        <f t="shared" si="46"/>
        <v>0</v>
      </c>
      <c r="CN18" s="511">
        <f t="shared" si="47"/>
        <v>0</v>
      </c>
      <c r="CO18" s="512" t="str">
        <f t="shared" si="48"/>
        <v/>
      </c>
      <c r="CP18" s="3"/>
      <c r="CQ18" s="3"/>
      <c r="CR18" s="511">
        <f t="shared" si="49"/>
        <v>0</v>
      </c>
      <c r="CS18" s="512" t="str">
        <f t="shared" si="50"/>
        <v/>
      </c>
      <c r="CT18" s="3"/>
      <c r="CU18" s="3"/>
      <c r="CV18" s="511">
        <f t="shared" si="51"/>
        <v>0</v>
      </c>
      <c r="CW18" s="512" t="str">
        <f t="shared" si="52"/>
        <v/>
      </c>
      <c r="CX18" s="511">
        <f t="shared" si="53"/>
        <v>0</v>
      </c>
      <c r="CY18" s="511">
        <f t="shared" si="53"/>
        <v>0</v>
      </c>
      <c r="CZ18" s="511">
        <f t="shared" si="54"/>
        <v>0</v>
      </c>
      <c r="DA18" s="512" t="str">
        <f t="shared" si="55"/>
        <v/>
      </c>
      <c r="DB18" s="3"/>
      <c r="DC18" s="3"/>
      <c r="DD18" s="511">
        <f t="shared" si="56"/>
        <v>0</v>
      </c>
      <c r="DE18" s="512" t="str">
        <f t="shared" si="57"/>
        <v/>
      </c>
      <c r="DF18" s="3"/>
      <c r="DG18" s="3"/>
      <c r="DH18" s="511">
        <f t="shared" si="58"/>
        <v>0</v>
      </c>
      <c r="DI18" s="512" t="str">
        <f t="shared" si="59"/>
        <v/>
      </c>
      <c r="DJ18" s="511">
        <f t="shared" si="60"/>
        <v>0</v>
      </c>
      <c r="DK18" s="511">
        <f t="shared" si="60"/>
        <v>0</v>
      </c>
      <c r="DL18" s="511">
        <f t="shared" si="61"/>
        <v>0</v>
      </c>
      <c r="DM18" s="512" t="str">
        <f t="shared" si="62"/>
        <v/>
      </c>
      <c r="DN18" s="3"/>
      <c r="DO18" s="3"/>
      <c r="DP18" s="511">
        <f t="shared" si="63"/>
        <v>0</v>
      </c>
      <c r="DQ18" s="512" t="str">
        <f t="shared" si="64"/>
        <v/>
      </c>
      <c r="DR18" s="511">
        <f t="shared" si="65"/>
        <v>42739</v>
      </c>
      <c r="DS18" s="511">
        <f t="shared" si="66"/>
        <v>23200.5</v>
      </c>
      <c r="DT18" s="511">
        <f t="shared" si="67"/>
        <v>19538.5</v>
      </c>
      <c r="DU18" s="512">
        <f t="shared" si="68"/>
        <v>1.8421585741686601</v>
      </c>
    </row>
    <row r="19" spans="1:125" x14ac:dyDescent="0.25">
      <c r="A19" s="2" t="s">
        <v>31</v>
      </c>
      <c r="B19" s="511">
        <f>1800.26</f>
        <v>1800.26</v>
      </c>
      <c r="C19" s="3"/>
      <c r="D19" s="511">
        <f t="shared" si="0"/>
        <v>1800.26</v>
      </c>
      <c r="E19" s="512" t="str">
        <f t="shared" si="1"/>
        <v/>
      </c>
      <c r="F19" s="3"/>
      <c r="G19" s="3"/>
      <c r="H19" s="511">
        <f t="shared" si="2"/>
        <v>0</v>
      </c>
      <c r="I19" s="512" t="str">
        <f t="shared" si="3"/>
        <v/>
      </c>
      <c r="J19" s="3"/>
      <c r="K19" s="3"/>
      <c r="L19" s="511">
        <f t="shared" si="4"/>
        <v>0</v>
      </c>
      <c r="M19" s="512" t="str">
        <f t="shared" si="5"/>
        <v/>
      </c>
      <c r="N19" s="3"/>
      <c r="O19" s="3"/>
      <c r="P19" s="511">
        <f t="shared" si="6"/>
        <v>0</v>
      </c>
      <c r="Q19" s="512" t="str">
        <f t="shared" si="7"/>
        <v/>
      </c>
      <c r="R19" s="3"/>
      <c r="S19" s="3"/>
      <c r="T19" s="511">
        <f t="shared" si="8"/>
        <v>0</v>
      </c>
      <c r="U19" s="512" t="str">
        <f t="shared" si="9"/>
        <v/>
      </c>
      <c r="V19" s="3"/>
      <c r="W19" s="3"/>
      <c r="X19" s="511">
        <f t="shared" si="10"/>
        <v>0</v>
      </c>
      <c r="Y19" s="512" t="str">
        <f t="shared" si="11"/>
        <v/>
      </c>
      <c r="Z19" s="3"/>
      <c r="AA19" s="3"/>
      <c r="AB19" s="511">
        <f t="shared" si="12"/>
        <v>0</v>
      </c>
      <c r="AC19" s="512" t="str">
        <f t="shared" si="13"/>
        <v/>
      </c>
      <c r="AD19" s="3"/>
      <c r="AE19" s="3"/>
      <c r="AF19" s="511">
        <f t="shared" si="14"/>
        <v>0</v>
      </c>
      <c r="AG19" s="512" t="str">
        <f t="shared" si="15"/>
        <v/>
      </c>
      <c r="AH19" s="3"/>
      <c r="AI19" s="3"/>
      <c r="AJ19" s="511">
        <f t="shared" si="16"/>
        <v>0</v>
      </c>
      <c r="AK19" s="512" t="str">
        <f t="shared" si="17"/>
        <v/>
      </c>
      <c r="AL19" s="3"/>
      <c r="AM19" s="3"/>
      <c r="AN19" s="511">
        <f t="shared" si="18"/>
        <v>0</v>
      </c>
      <c r="AO19" s="512" t="str">
        <f t="shared" si="19"/>
        <v/>
      </c>
      <c r="AP19" s="3"/>
      <c r="AQ19" s="3"/>
      <c r="AR19" s="511">
        <f t="shared" si="20"/>
        <v>0</v>
      </c>
      <c r="AS19" s="512" t="str">
        <f t="shared" si="21"/>
        <v/>
      </c>
      <c r="AT19" s="3"/>
      <c r="AU19" s="3"/>
      <c r="AV19" s="511">
        <f t="shared" si="22"/>
        <v>0</v>
      </c>
      <c r="AW19" s="512" t="str">
        <f t="shared" si="23"/>
        <v/>
      </c>
      <c r="AX19" s="511">
        <f t="shared" si="24"/>
        <v>0</v>
      </c>
      <c r="AY19" s="511">
        <f t="shared" si="24"/>
        <v>0</v>
      </c>
      <c r="AZ19" s="511">
        <f t="shared" si="25"/>
        <v>0</v>
      </c>
      <c r="BA19" s="512" t="str">
        <f t="shared" si="26"/>
        <v/>
      </c>
      <c r="BB19" s="3"/>
      <c r="BC19" s="3"/>
      <c r="BD19" s="511">
        <f t="shared" si="27"/>
        <v>0</v>
      </c>
      <c r="BE19" s="512" t="str">
        <f t="shared" si="28"/>
        <v/>
      </c>
      <c r="BF19" s="3"/>
      <c r="BG19" s="3"/>
      <c r="BH19" s="511">
        <f t="shared" si="29"/>
        <v>0</v>
      </c>
      <c r="BI19" s="512" t="str">
        <f t="shared" si="30"/>
        <v/>
      </c>
      <c r="BJ19" s="3"/>
      <c r="BK19" s="3"/>
      <c r="BL19" s="511">
        <f t="shared" si="31"/>
        <v>0</v>
      </c>
      <c r="BM19" s="512" t="str">
        <f t="shared" si="32"/>
        <v/>
      </c>
      <c r="BN19" s="3"/>
      <c r="BO19" s="3"/>
      <c r="BP19" s="511">
        <f t="shared" si="33"/>
        <v>0</v>
      </c>
      <c r="BQ19" s="512" t="str">
        <f t="shared" si="34"/>
        <v/>
      </c>
      <c r="BR19" s="511">
        <f t="shared" si="35"/>
        <v>0</v>
      </c>
      <c r="BS19" s="511">
        <f t="shared" si="35"/>
        <v>0</v>
      </c>
      <c r="BT19" s="511">
        <f t="shared" si="36"/>
        <v>0</v>
      </c>
      <c r="BU19" s="512" t="str">
        <f t="shared" si="37"/>
        <v/>
      </c>
      <c r="BV19" s="3"/>
      <c r="BW19" s="3"/>
      <c r="BX19" s="511">
        <f t="shared" si="38"/>
        <v>0</v>
      </c>
      <c r="BY19" s="512" t="str">
        <f t="shared" si="39"/>
        <v/>
      </c>
      <c r="BZ19" s="3"/>
      <c r="CA19" s="3"/>
      <c r="CB19" s="511">
        <f t="shared" si="40"/>
        <v>0</v>
      </c>
      <c r="CC19" s="512" t="str">
        <f t="shared" si="41"/>
        <v/>
      </c>
      <c r="CD19" s="3"/>
      <c r="CE19" s="3"/>
      <c r="CF19" s="511">
        <f t="shared" si="42"/>
        <v>0</v>
      </c>
      <c r="CG19" s="512" t="str">
        <f t="shared" si="43"/>
        <v/>
      </c>
      <c r="CH19" s="3"/>
      <c r="CI19" s="3"/>
      <c r="CJ19" s="511">
        <f t="shared" si="44"/>
        <v>0</v>
      </c>
      <c r="CK19" s="512" t="str">
        <f t="shared" si="45"/>
        <v/>
      </c>
      <c r="CL19" s="511">
        <f t="shared" si="46"/>
        <v>0</v>
      </c>
      <c r="CM19" s="511">
        <f t="shared" si="46"/>
        <v>0</v>
      </c>
      <c r="CN19" s="511">
        <f t="shared" si="47"/>
        <v>0</v>
      </c>
      <c r="CO19" s="512" t="str">
        <f t="shared" si="48"/>
        <v/>
      </c>
      <c r="CP19" s="3"/>
      <c r="CQ19" s="3"/>
      <c r="CR19" s="511">
        <f t="shared" si="49"/>
        <v>0</v>
      </c>
      <c r="CS19" s="512" t="str">
        <f t="shared" si="50"/>
        <v/>
      </c>
      <c r="CT19" s="511">
        <f>656</f>
        <v>656</v>
      </c>
      <c r="CU19" s="3"/>
      <c r="CV19" s="511">
        <f t="shared" si="51"/>
        <v>656</v>
      </c>
      <c r="CW19" s="512" t="str">
        <f t="shared" si="52"/>
        <v/>
      </c>
      <c r="CX19" s="511">
        <f t="shared" si="53"/>
        <v>656</v>
      </c>
      <c r="CY19" s="511">
        <f t="shared" si="53"/>
        <v>0</v>
      </c>
      <c r="CZ19" s="511">
        <f t="shared" si="54"/>
        <v>656</v>
      </c>
      <c r="DA19" s="512" t="str">
        <f t="shared" si="55"/>
        <v/>
      </c>
      <c r="DB19" s="511">
        <f>637.46</f>
        <v>637.46</v>
      </c>
      <c r="DC19" s="3"/>
      <c r="DD19" s="511">
        <f t="shared" si="56"/>
        <v>637.46</v>
      </c>
      <c r="DE19" s="512" t="str">
        <f t="shared" si="57"/>
        <v/>
      </c>
      <c r="DF19" s="3"/>
      <c r="DG19" s="3"/>
      <c r="DH19" s="511">
        <f t="shared" si="58"/>
        <v>0</v>
      </c>
      <c r="DI19" s="512" t="str">
        <f t="shared" si="59"/>
        <v/>
      </c>
      <c r="DJ19" s="511">
        <f t="shared" si="60"/>
        <v>637.46</v>
      </c>
      <c r="DK19" s="511">
        <f t="shared" si="60"/>
        <v>0</v>
      </c>
      <c r="DL19" s="511">
        <f t="shared" si="61"/>
        <v>637.46</v>
      </c>
      <c r="DM19" s="512" t="str">
        <f t="shared" si="62"/>
        <v/>
      </c>
      <c r="DN19" s="3"/>
      <c r="DO19" s="3"/>
      <c r="DP19" s="511">
        <f t="shared" si="63"/>
        <v>0</v>
      </c>
      <c r="DQ19" s="512" t="str">
        <f t="shared" si="64"/>
        <v/>
      </c>
      <c r="DR19" s="511">
        <f t="shared" si="65"/>
        <v>3093.7200000000003</v>
      </c>
      <c r="DS19" s="511">
        <f t="shared" si="66"/>
        <v>0</v>
      </c>
      <c r="DT19" s="511">
        <f t="shared" si="67"/>
        <v>3093.7200000000003</v>
      </c>
      <c r="DU19" s="512" t="str">
        <f t="shared" si="68"/>
        <v/>
      </c>
    </row>
    <row r="20" spans="1:125" x14ac:dyDescent="0.25">
      <c r="A20" s="2" t="s">
        <v>32</v>
      </c>
      <c r="B20" s="3"/>
      <c r="C20" s="3"/>
      <c r="D20" s="511">
        <f t="shared" si="0"/>
        <v>0</v>
      </c>
      <c r="E20" s="512" t="str">
        <f t="shared" si="1"/>
        <v/>
      </c>
      <c r="F20" s="3"/>
      <c r="G20" s="3"/>
      <c r="H20" s="511">
        <f t="shared" si="2"/>
        <v>0</v>
      </c>
      <c r="I20" s="512" t="str">
        <f t="shared" si="3"/>
        <v/>
      </c>
      <c r="J20" s="3"/>
      <c r="K20" s="3"/>
      <c r="L20" s="511">
        <f t="shared" si="4"/>
        <v>0</v>
      </c>
      <c r="M20" s="512" t="str">
        <f t="shared" si="5"/>
        <v/>
      </c>
      <c r="N20" s="3"/>
      <c r="O20" s="3"/>
      <c r="P20" s="511">
        <f t="shared" si="6"/>
        <v>0</v>
      </c>
      <c r="Q20" s="512" t="str">
        <f t="shared" si="7"/>
        <v/>
      </c>
      <c r="R20" s="3"/>
      <c r="S20" s="3"/>
      <c r="T20" s="511">
        <f t="shared" si="8"/>
        <v>0</v>
      </c>
      <c r="U20" s="512" t="str">
        <f t="shared" si="9"/>
        <v/>
      </c>
      <c r="V20" s="3"/>
      <c r="W20" s="3"/>
      <c r="X20" s="511">
        <f t="shared" si="10"/>
        <v>0</v>
      </c>
      <c r="Y20" s="512" t="str">
        <f t="shared" si="11"/>
        <v/>
      </c>
      <c r="Z20" s="3"/>
      <c r="AA20" s="3"/>
      <c r="AB20" s="511">
        <f t="shared" si="12"/>
        <v>0</v>
      </c>
      <c r="AC20" s="512" t="str">
        <f t="shared" si="13"/>
        <v/>
      </c>
      <c r="AD20" s="3"/>
      <c r="AE20" s="3"/>
      <c r="AF20" s="511">
        <f t="shared" si="14"/>
        <v>0</v>
      </c>
      <c r="AG20" s="512" t="str">
        <f t="shared" si="15"/>
        <v/>
      </c>
      <c r="AH20" s="3"/>
      <c r="AI20" s="3"/>
      <c r="AJ20" s="511">
        <f t="shared" si="16"/>
        <v>0</v>
      </c>
      <c r="AK20" s="512" t="str">
        <f t="shared" si="17"/>
        <v/>
      </c>
      <c r="AL20" s="3"/>
      <c r="AM20" s="3"/>
      <c r="AN20" s="511">
        <f t="shared" si="18"/>
        <v>0</v>
      </c>
      <c r="AO20" s="512" t="str">
        <f t="shared" si="19"/>
        <v/>
      </c>
      <c r="AP20" s="3"/>
      <c r="AQ20" s="3"/>
      <c r="AR20" s="511">
        <f t="shared" si="20"/>
        <v>0</v>
      </c>
      <c r="AS20" s="512" t="str">
        <f t="shared" si="21"/>
        <v/>
      </c>
      <c r="AT20" s="3"/>
      <c r="AU20" s="3"/>
      <c r="AV20" s="511">
        <f t="shared" si="22"/>
        <v>0</v>
      </c>
      <c r="AW20" s="512" t="str">
        <f t="shared" si="23"/>
        <v/>
      </c>
      <c r="AX20" s="511">
        <f t="shared" si="24"/>
        <v>0</v>
      </c>
      <c r="AY20" s="511">
        <f t="shared" si="24"/>
        <v>0</v>
      </c>
      <c r="AZ20" s="511">
        <f t="shared" si="25"/>
        <v>0</v>
      </c>
      <c r="BA20" s="512" t="str">
        <f t="shared" si="26"/>
        <v/>
      </c>
      <c r="BB20" s="3"/>
      <c r="BC20" s="3"/>
      <c r="BD20" s="511">
        <f t="shared" si="27"/>
        <v>0</v>
      </c>
      <c r="BE20" s="512" t="str">
        <f t="shared" si="28"/>
        <v/>
      </c>
      <c r="BF20" s="3"/>
      <c r="BG20" s="3"/>
      <c r="BH20" s="511">
        <f t="shared" si="29"/>
        <v>0</v>
      </c>
      <c r="BI20" s="512" t="str">
        <f t="shared" si="30"/>
        <v/>
      </c>
      <c r="BJ20" s="3"/>
      <c r="BK20" s="3"/>
      <c r="BL20" s="511">
        <f t="shared" si="31"/>
        <v>0</v>
      </c>
      <c r="BM20" s="512" t="str">
        <f t="shared" si="32"/>
        <v/>
      </c>
      <c r="BN20" s="3"/>
      <c r="BO20" s="3"/>
      <c r="BP20" s="511">
        <f t="shared" si="33"/>
        <v>0</v>
      </c>
      <c r="BQ20" s="512" t="str">
        <f t="shared" si="34"/>
        <v/>
      </c>
      <c r="BR20" s="511">
        <f t="shared" si="35"/>
        <v>0</v>
      </c>
      <c r="BS20" s="511">
        <f t="shared" si="35"/>
        <v>0</v>
      </c>
      <c r="BT20" s="511">
        <f t="shared" si="36"/>
        <v>0</v>
      </c>
      <c r="BU20" s="512" t="str">
        <f t="shared" si="37"/>
        <v/>
      </c>
      <c r="BV20" s="3"/>
      <c r="BW20" s="3"/>
      <c r="BX20" s="511">
        <f t="shared" si="38"/>
        <v>0</v>
      </c>
      <c r="BY20" s="512" t="str">
        <f t="shared" si="39"/>
        <v/>
      </c>
      <c r="BZ20" s="3"/>
      <c r="CA20" s="3"/>
      <c r="CB20" s="511">
        <f t="shared" si="40"/>
        <v>0</v>
      </c>
      <c r="CC20" s="512" t="str">
        <f t="shared" si="41"/>
        <v/>
      </c>
      <c r="CD20" s="3"/>
      <c r="CE20" s="3"/>
      <c r="CF20" s="511">
        <f t="shared" si="42"/>
        <v>0</v>
      </c>
      <c r="CG20" s="512" t="str">
        <f t="shared" si="43"/>
        <v/>
      </c>
      <c r="CH20" s="3"/>
      <c r="CI20" s="3"/>
      <c r="CJ20" s="511">
        <f t="shared" si="44"/>
        <v>0</v>
      </c>
      <c r="CK20" s="512" t="str">
        <f t="shared" si="45"/>
        <v/>
      </c>
      <c r="CL20" s="511">
        <f t="shared" si="46"/>
        <v>0</v>
      </c>
      <c r="CM20" s="511">
        <f t="shared" si="46"/>
        <v>0</v>
      </c>
      <c r="CN20" s="511">
        <f t="shared" si="47"/>
        <v>0</v>
      </c>
      <c r="CO20" s="512" t="str">
        <f t="shared" si="48"/>
        <v/>
      </c>
      <c r="CP20" s="3"/>
      <c r="CQ20" s="3"/>
      <c r="CR20" s="511">
        <f t="shared" si="49"/>
        <v>0</v>
      </c>
      <c r="CS20" s="512" t="str">
        <f t="shared" si="50"/>
        <v/>
      </c>
      <c r="CT20" s="3"/>
      <c r="CU20" s="3"/>
      <c r="CV20" s="511">
        <f t="shared" si="51"/>
        <v>0</v>
      </c>
      <c r="CW20" s="512" t="str">
        <f t="shared" si="52"/>
        <v/>
      </c>
      <c r="CX20" s="511">
        <f t="shared" si="53"/>
        <v>0</v>
      </c>
      <c r="CY20" s="511">
        <f t="shared" si="53"/>
        <v>0</v>
      </c>
      <c r="CZ20" s="511">
        <f t="shared" si="54"/>
        <v>0</v>
      </c>
      <c r="DA20" s="512" t="str">
        <f t="shared" si="55"/>
        <v/>
      </c>
      <c r="DB20" s="511">
        <f>97.7</f>
        <v>97.7</v>
      </c>
      <c r="DC20" s="3"/>
      <c r="DD20" s="511">
        <f t="shared" si="56"/>
        <v>97.7</v>
      </c>
      <c r="DE20" s="512" t="str">
        <f t="shared" si="57"/>
        <v/>
      </c>
      <c r="DF20" s="3"/>
      <c r="DG20" s="3"/>
      <c r="DH20" s="511">
        <f t="shared" si="58"/>
        <v>0</v>
      </c>
      <c r="DI20" s="512" t="str">
        <f t="shared" si="59"/>
        <v/>
      </c>
      <c r="DJ20" s="511">
        <f t="shared" si="60"/>
        <v>97.7</v>
      </c>
      <c r="DK20" s="511">
        <f t="shared" si="60"/>
        <v>0</v>
      </c>
      <c r="DL20" s="511">
        <f t="shared" si="61"/>
        <v>97.7</v>
      </c>
      <c r="DM20" s="512" t="str">
        <f t="shared" si="62"/>
        <v/>
      </c>
      <c r="DN20" s="3"/>
      <c r="DO20" s="3"/>
      <c r="DP20" s="511">
        <f t="shared" si="63"/>
        <v>0</v>
      </c>
      <c r="DQ20" s="512" t="str">
        <f t="shared" si="64"/>
        <v/>
      </c>
      <c r="DR20" s="511">
        <f t="shared" si="65"/>
        <v>97.7</v>
      </c>
      <c r="DS20" s="511">
        <f t="shared" si="66"/>
        <v>0</v>
      </c>
      <c r="DT20" s="511">
        <f t="shared" si="67"/>
        <v>97.7</v>
      </c>
      <c r="DU20" s="512" t="str">
        <f t="shared" si="68"/>
        <v/>
      </c>
    </row>
    <row r="21" spans="1:125" x14ac:dyDescent="0.25">
      <c r="A21" s="2" t="s">
        <v>33</v>
      </c>
      <c r="B21" s="513">
        <f>(B19)+(B20)</f>
        <v>1800.26</v>
      </c>
      <c r="C21" s="513">
        <f>(C19)+(C20)</f>
        <v>0</v>
      </c>
      <c r="D21" s="513">
        <f t="shared" si="0"/>
        <v>1800.26</v>
      </c>
      <c r="E21" s="514" t="str">
        <f t="shared" si="1"/>
        <v/>
      </c>
      <c r="F21" s="513">
        <f>(F19)+(F20)</f>
        <v>0</v>
      </c>
      <c r="G21" s="513">
        <f>(G19)+(G20)</f>
        <v>0</v>
      </c>
      <c r="H21" s="513">
        <f t="shared" si="2"/>
        <v>0</v>
      </c>
      <c r="I21" s="514" t="str">
        <f t="shared" si="3"/>
        <v/>
      </c>
      <c r="J21" s="513">
        <f>(J19)+(J20)</f>
        <v>0</v>
      </c>
      <c r="K21" s="513">
        <f>(K19)+(K20)</f>
        <v>0</v>
      </c>
      <c r="L21" s="513">
        <f t="shared" si="4"/>
        <v>0</v>
      </c>
      <c r="M21" s="514" t="str">
        <f t="shared" si="5"/>
        <v/>
      </c>
      <c r="N21" s="513">
        <f>(N19)+(N20)</f>
        <v>0</v>
      </c>
      <c r="O21" s="513">
        <f>(O19)+(O20)</f>
        <v>0</v>
      </c>
      <c r="P21" s="513">
        <f t="shared" si="6"/>
        <v>0</v>
      </c>
      <c r="Q21" s="514" t="str">
        <f t="shared" si="7"/>
        <v/>
      </c>
      <c r="R21" s="513">
        <f>(R19)+(R20)</f>
        <v>0</v>
      </c>
      <c r="S21" s="513">
        <f>(S19)+(S20)</f>
        <v>0</v>
      </c>
      <c r="T21" s="513">
        <f t="shared" si="8"/>
        <v>0</v>
      </c>
      <c r="U21" s="514" t="str">
        <f t="shared" si="9"/>
        <v/>
      </c>
      <c r="V21" s="513">
        <f>(V19)+(V20)</f>
        <v>0</v>
      </c>
      <c r="W21" s="513">
        <f>(W19)+(W20)</f>
        <v>0</v>
      </c>
      <c r="X21" s="513">
        <f t="shared" si="10"/>
        <v>0</v>
      </c>
      <c r="Y21" s="514" t="str">
        <f t="shared" si="11"/>
        <v/>
      </c>
      <c r="Z21" s="513">
        <f>(Z19)+(Z20)</f>
        <v>0</v>
      </c>
      <c r="AA21" s="513">
        <f>(AA19)+(AA20)</f>
        <v>0</v>
      </c>
      <c r="AB21" s="513">
        <f t="shared" si="12"/>
        <v>0</v>
      </c>
      <c r="AC21" s="514" t="str">
        <f t="shared" si="13"/>
        <v/>
      </c>
      <c r="AD21" s="513">
        <f>(AD19)+(AD20)</f>
        <v>0</v>
      </c>
      <c r="AE21" s="513">
        <f>(AE19)+(AE20)</f>
        <v>0</v>
      </c>
      <c r="AF21" s="513">
        <f t="shared" si="14"/>
        <v>0</v>
      </c>
      <c r="AG21" s="514" t="str">
        <f t="shared" si="15"/>
        <v/>
      </c>
      <c r="AH21" s="513">
        <f>(AH19)+(AH20)</f>
        <v>0</v>
      </c>
      <c r="AI21" s="513">
        <f>(AI19)+(AI20)</f>
        <v>0</v>
      </c>
      <c r="AJ21" s="513">
        <f t="shared" si="16"/>
        <v>0</v>
      </c>
      <c r="AK21" s="514" t="str">
        <f t="shared" si="17"/>
        <v/>
      </c>
      <c r="AL21" s="513">
        <f>(AL19)+(AL20)</f>
        <v>0</v>
      </c>
      <c r="AM21" s="513">
        <f>(AM19)+(AM20)</f>
        <v>0</v>
      </c>
      <c r="AN21" s="513">
        <f t="shared" si="18"/>
        <v>0</v>
      </c>
      <c r="AO21" s="514" t="str">
        <f t="shared" si="19"/>
        <v/>
      </c>
      <c r="AP21" s="513">
        <f>(AP19)+(AP20)</f>
        <v>0</v>
      </c>
      <c r="AQ21" s="513">
        <f>(AQ19)+(AQ20)</f>
        <v>0</v>
      </c>
      <c r="AR21" s="513">
        <f t="shared" si="20"/>
        <v>0</v>
      </c>
      <c r="AS21" s="514" t="str">
        <f t="shared" si="21"/>
        <v/>
      </c>
      <c r="AT21" s="513">
        <f>(AT19)+(AT20)</f>
        <v>0</v>
      </c>
      <c r="AU21" s="513">
        <f>(AU19)+(AU20)</f>
        <v>0</v>
      </c>
      <c r="AV21" s="513">
        <f t="shared" si="22"/>
        <v>0</v>
      </c>
      <c r="AW21" s="514" t="str">
        <f t="shared" si="23"/>
        <v/>
      </c>
      <c r="AX21" s="513">
        <f t="shared" si="24"/>
        <v>0</v>
      </c>
      <c r="AY21" s="513">
        <f t="shared" si="24"/>
        <v>0</v>
      </c>
      <c r="AZ21" s="513">
        <f t="shared" si="25"/>
        <v>0</v>
      </c>
      <c r="BA21" s="514" t="str">
        <f t="shared" si="26"/>
        <v/>
      </c>
      <c r="BB21" s="513">
        <f>(BB19)+(BB20)</f>
        <v>0</v>
      </c>
      <c r="BC21" s="513">
        <f>(BC19)+(BC20)</f>
        <v>0</v>
      </c>
      <c r="BD21" s="513">
        <f t="shared" si="27"/>
        <v>0</v>
      </c>
      <c r="BE21" s="514" t="str">
        <f t="shared" si="28"/>
        <v/>
      </c>
      <c r="BF21" s="513">
        <f>(BF19)+(BF20)</f>
        <v>0</v>
      </c>
      <c r="BG21" s="513">
        <f>(BG19)+(BG20)</f>
        <v>0</v>
      </c>
      <c r="BH21" s="513">
        <f t="shared" si="29"/>
        <v>0</v>
      </c>
      <c r="BI21" s="514" t="str">
        <f t="shared" si="30"/>
        <v/>
      </c>
      <c r="BJ21" s="513">
        <f>(BJ19)+(BJ20)</f>
        <v>0</v>
      </c>
      <c r="BK21" s="513">
        <f>(BK19)+(BK20)</f>
        <v>0</v>
      </c>
      <c r="BL21" s="513">
        <f t="shared" si="31"/>
        <v>0</v>
      </c>
      <c r="BM21" s="514" t="str">
        <f t="shared" si="32"/>
        <v/>
      </c>
      <c r="BN21" s="513">
        <f>(BN19)+(BN20)</f>
        <v>0</v>
      </c>
      <c r="BO21" s="513">
        <f>(BO19)+(BO20)</f>
        <v>0</v>
      </c>
      <c r="BP21" s="513">
        <f t="shared" si="33"/>
        <v>0</v>
      </c>
      <c r="BQ21" s="514" t="str">
        <f t="shared" si="34"/>
        <v/>
      </c>
      <c r="BR21" s="513">
        <f t="shared" si="35"/>
        <v>0</v>
      </c>
      <c r="BS21" s="513">
        <f t="shared" si="35"/>
        <v>0</v>
      </c>
      <c r="BT21" s="513">
        <f t="shared" si="36"/>
        <v>0</v>
      </c>
      <c r="BU21" s="514" t="str">
        <f t="shared" si="37"/>
        <v/>
      </c>
      <c r="BV21" s="513">
        <f>(BV19)+(BV20)</f>
        <v>0</v>
      </c>
      <c r="BW21" s="513">
        <f>(BW19)+(BW20)</f>
        <v>0</v>
      </c>
      <c r="BX21" s="513">
        <f t="shared" si="38"/>
        <v>0</v>
      </c>
      <c r="BY21" s="514" t="str">
        <f t="shared" si="39"/>
        <v/>
      </c>
      <c r="BZ21" s="513">
        <f>(BZ19)+(BZ20)</f>
        <v>0</v>
      </c>
      <c r="CA21" s="513">
        <f>(CA19)+(CA20)</f>
        <v>0</v>
      </c>
      <c r="CB21" s="513">
        <f t="shared" si="40"/>
        <v>0</v>
      </c>
      <c r="CC21" s="514" t="str">
        <f t="shared" si="41"/>
        <v/>
      </c>
      <c r="CD21" s="513">
        <f>(CD19)+(CD20)</f>
        <v>0</v>
      </c>
      <c r="CE21" s="513">
        <f>(CE19)+(CE20)</f>
        <v>0</v>
      </c>
      <c r="CF21" s="513">
        <f t="shared" si="42"/>
        <v>0</v>
      </c>
      <c r="CG21" s="514" t="str">
        <f t="shared" si="43"/>
        <v/>
      </c>
      <c r="CH21" s="513">
        <f>(CH19)+(CH20)</f>
        <v>0</v>
      </c>
      <c r="CI21" s="513">
        <f>(CI19)+(CI20)</f>
        <v>0</v>
      </c>
      <c r="CJ21" s="513">
        <f t="shared" si="44"/>
        <v>0</v>
      </c>
      <c r="CK21" s="514" t="str">
        <f t="shared" si="45"/>
        <v/>
      </c>
      <c r="CL21" s="513">
        <f t="shared" si="46"/>
        <v>0</v>
      </c>
      <c r="CM21" s="513">
        <f t="shared" si="46"/>
        <v>0</v>
      </c>
      <c r="CN21" s="513">
        <f t="shared" si="47"/>
        <v>0</v>
      </c>
      <c r="CO21" s="514" t="str">
        <f t="shared" si="48"/>
        <v/>
      </c>
      <c r="CP21" s="513">
        <f>(CP19)+(CP20)</f>
        <v>0</v>
      </c>
      <c r="CQ21" s="513">
        <f>(CQ19)+(CQ20)</f>
        <v>0</v>
      </c>
      <c r="CR21" s="513">
        <f t="shared" si="49"/>
        <v>0</v>
      </c>
      <c r="CS21" s="514" t="str">
        <f t="shared" si="50"/>
        <v/>
      </c>
      <c r="CT21" s="513">
        <f>(CT19)+(CT20)</f>
        <v>656</v>
      </c>
      <c r="CU21" s="513">
        <f>(CU19)+(CU20)</f>
        <v>0</v>
      </c>
      <c r="CV21" s="513">
        <f t="shared" si="51"/>
        <v>656</v>
      </c>
      <c r="CW21" s="514" t="str">
        <f t="shared" si="52"/>
        <v/>
      </c>
      <c r="CX21" s="513">
        <f t="shared" si="53"/>
        <v>656</v>
      </c>
      <c r="CY21" s="513">
        <f t="shared" si="53"/>
        <v>0</v>
      </c>
      <c r="CZ21" s="513">
        <f t="shared" si="54"/>
        <v>656</v>
      </c>
      <c r="DA21" s="514" t="str">
        <f t="shared" si="55"/>
        <v/>
      </c>
      <c r="DB21" s="513">
        <f>(DB19)+(DB20)</f>
        <v>735.16000000000008</v>
      </c>
      <c r="DC21" s="513">
        <f>(DC19)+(DC20)</f>
        <v>0</v>
      </c>
      <c r="DD21" s="513">
        <f t="shared" si="56"/>
        <v>735.16000000000008</v>
      </c>
      <c r="DE21" s="514" t="str">
        <f t="shared" si="57"/>
        <v/>
      </c>
      <c r="DF21" s="513">
        <f>(DF19)+(DF20)</f>
        <v>0</v>
      </c>
      <c r="DG21" s="513">
        <f>(DG19)+(DG20)</f>
        <v>0</v>
      </c>
      <c r="DH21" s="513">
        <f t="shared" si="58"/>
        <v>0</v>
      </c>
      <c r="DI21" s="514" t="str">
        <f t="shared" si="59"/>
        <v/>
      </c>
      <c r="DJ21" s="513">
        <f t="shared" si="60"/>
        <v>735.16000000000008</v>
      </c>
      <c r="DK21" s="513">
        <f t="shared" si="60"/>
        <v>0</v>
      </c>
      <c r="DL21" s="513">
        <f t="shared" si="61"/>
        <v>735.16000000000008</v>
      </c>
      <c r="DM21" s="514" t="str">
        <f t="shared" si="62"/>
        <v/>
      </c>
      <c r="DN21" s="513">
        <f>(DN19)+(DN20)</f>
        <v>0</v>
      </c>
      <c r="DO21" s="513">
        <f>(DO19)+(DO20)</f>
        <v>0</v>
      </c>
      <c r="DP21" s="513">
        <f t="shared" si="63"/>
        <v>0</v>
      </c>
      <c r="DQ21" s="514" t="str">
        <f t="shared" si="64"/>
        <v/>
      </c>
      <c r="DR21" s="513">
        <f t="shared" si="65"/>
        <v>3191.42</v>
      </c>
      <c r="DS21" s="513">
        <f t="shared" si="66"/>
        <v>0</v>
      </c>
      <c r="DT21" s="513">
        <f t="shared" si="67"/>
        <v>3191.42</v>
      </c>
      <c r="DU21" s="514" t="str">
        <f t="shared" si="68"/>
        <v/>
      </c>
    </row>
    <row r="22" spans="1:125" x14ac:dyDescent="0.25">
      <c r="A22" s="2" t="s">
        <v>35</v>
      </c>
      <c r="B22" s="511">
        <f>0.12</f>
        <v>0.12</v>
      </c>
      <c r="C22" s="3"/>
      <c r="D22" s="511">
        <f t="shared" si="0"/>
        <v>0.12</v>
      </c>
      <c r="E22" s="512" t="str">
        <f t="shared" si="1"/>
        <v/>
      </c>
      <c r="F22" s="3"/>
      <c r="G22" s="3"/>
      <c r="H22" s="511">
        <f t="shared" si="2"/>
        <v>0</v>
      </c>
      <c r="I22" s="512" t="str">
        <f t="shared" si="3"/>
        <v/>
      </c>
      <c r="J22" s="3"/>
      <c r="K22" s="3"/>
      <c r="L22" s="511">
        <f t="shared" si="4"/>
        <v>0</v>
      </c>
      <c r="M22" s="512" t="str">
        <f t="shared" si="5"/>
        <v/>
      </c>
      <c r="N22" s="3"/>
      <c r="O22" s="3"/>
      <c r="P22" s="511">
        <f t="shared" si="6"/>
        <v>0</v>
      </c>
      <c r="Q22" s="512" t="str">
        <f t="shared" si="7"/>
        <v/>
      </c>
      <c r="R22" s="3"/>
      <c r="S22" s="3"/>
      <c r="T22" s="511">
        <f t="shared" si="8"/>
        <v>0</v>
      </c>
      <c r="U22" s="512" t="str">
        <f t="shared" si="9"/>
        <v/>
      </c>
      <c r="V22" s="3"/>
      <c r="W22" s="3"/>
      <c r="X22" s="511">
        <f t="shared" si="10"/>
        <v>0</v>
      </c>
      <c r="Y22" s="512" t="str">
        <f t="shared" si="11"/>
        <v/>
      </c>
      <c r="Z22" s="3"/>
      <c r="AA22" s="3"/>
      <c r="AB22" s="511">
        <f t="shared" si="12"/>
        <v>0</v>
      </c>
      <c r="AC22" s="512" t="str">
        <f t="shared" si="13"/>
        <v/>
      </c>
      <c r="AD22" s="3"/>
      <c r="AE22" s="3"/>
      <c r="AF22" s="511">
        <f t="shared" si="14"/>
        <v>0</v>
      </c>
      <c r="AG22" s="512" t="str">
        <f t="shared" si="15"/>
        <v/>
      </c>
      <c r="AH22" s="3"/>
      <c r="AI22" s="3"/>
      <c r="AJ22" s="511">
        <f t="shared" si="16"/>
        <v>0</v>
      </c>
      <c r="AK22" s="512" t="str">
        <f t="shared" si="17"/>
        <v/>
      </c>
      <c r="AL22" s="3"/>
      <c r="AM22" s="3"/>
      <c r="AN22" s="511">
        <f t="shared" si="18"/>
        <v>0</v>
      </c>
      <c r="AO22" s="512" t="str">
        <f t="shared" si="19"/>
        <v/>
      </c>
      <c r="AP22" s="3"/>
      <c r="AQ22" s="3"/>
      <c r="AR22" s="511">
        <f t="shared" si="20"/>
        <v>0</v>
      </c>
      <c r="AS22" s="512" t="str">
        <f t="shared" si="21"/>
        <v/>
      </c>
      <c r="AT22" s="3"/>
      <c r="AU22" s="3"/>
      <c r="AV22" s="511">
        <f t="shared" si="22"/>
        <v>0</v>
      </c>
      <c r="AW22" s="512" t="str">
        <f t="shared" si="23"/>
        <v/>
      </c>
      <c r="AX22" s="511">
        <f t="shared" si="24"/>
        <v>0</v>
      </c>
      <c r="AY22" s="511">
        <f t="shared" si="24"/>
        <v>0</v>
      </c>
      <c r="AZ22" s="511">
        <f t="shared" si="25"/>
        <v>0</v>
      </c>
      <c r="BA22" s="512" t="str">
        <f t="shared" si="26"/>
        <v/>
      </c>
      <c r="BB22" s="3"/>
      <c r="BC22" s="3"/>
      <c r="BD22" s="511">
        <f t="shared" si="27"/>
        <v>0</v>
      </c>
      <c r="BE22" s="512" t="str">
        <f t="shared" si="28"/>
        <v/>
      </c>
      <c r="BF22" s="3"/>
      <c r="BG22" s="3"/>
      <c r="BH22" s="511">
        <f t="shared" si="29"/>
        <v>0</v>
      </c>
      <c r="BI22" s="512" t="str">
        <f t="shared" si="30"/>
        <v/>
      </c>
      <c r="BJ22" s="3"/>
      <c r="BK22" s="3"/>
      <c r="BL22" s="511">
        <f t="shared" si="31"/>
        <v>0</v>
      </c>
      <c r="BM22" s="512" t="str">
        <f t="shared" si="32"/>
        <v/>
      </c>
      <c r="BN22" s="3"/>
      <c r="BO22" s="3"/>
      <c r="BP22" s="511">
        <f t="shared" si="33"/>
        <v>0</v>
      </c>
      <c r="BQ22" s="512" t="str">
        <f t="shared" si="34"/>
        <v/>
      </c>
      <c r="BR22" s="511">
        <f t="shared" si="35"/>
        <v>0</v>
      </c>
      <c r="BS22" s="511">
        <f t="shared" si="35"/>
        <v>0</v>
      </c>
      <c r="BT22" s="511">
        <f t="shared" si="36"/>
        <v>0</v>
      </c>
      <c r="BU22" s="512" t="str">
        <f t="shared" si="37"/>
        <v/>
      </c>
      <c r="BV22" s="3"/>
      <c r="BW22" s="3"/>
      <c r="BX22" s="511">
        <f t="shared" si="38"/>
        <v>0</v>
      </c>
      <c r="BY22" s="512" t="str">
        <f t="shared" si="39"/>
        <v/>
      </c>
      <c r="BZ22" s="3"/>
      <c r="CA22" s="3"/>
      <c r="CB22" s="511">
        <f t="shared" si="40"/>
        <v>0</v>
      </c>
      <c r="CC22" s="512" t="str">
        <f t="shared" si="41"/>
        <v/>
      </c>
      <c r="CD22" s="3"/>
      <c r="CE22" s="3"/>
      <c r="CF22" s="511">
        <f t="shared" si="42"/>
        <v>0</v>
      </c>
      <c r="CG22" s="512" t="str">
        <f t="shared" si="43"/>
        <v/>
      </c>
      <c r="CH22" s="3"/>
      <c r="CI22" s="3"/>
      <c r="CJ22" s="511">
        <f t="shared" si="44"/>
        <v>0</v>
      </c>
      <c r="CK22" s="512" t="str">
        <f t="shared" si="45"/>
        <v/>
      </c>
      <c r="CL22" s="511">
        <f t="shared" si="46"/>
        <v>0</v>
      </c>
      <c r="CM22" s="511">
        <f t="shared" si="46"/>
        <v>0</v>
      </c>
      <c r="CN22" s="511">
        <f t="shared" si="47"/>
        <v>0</v>
      </c>
      <c r="CO22" s="512" t="str">
        <f t="shared" si="48"/>
        <v/>
      </c>
      <c r="CP22" s="3"/>
      <c r="CQ22" s="3"/>
      <c r="CR22" s="511">
        <f t="shared" si="49"/>
        <v>0</v>
      </c>
      <c r="CS22" s="512" t="str">
        <f t="shared" si="50"/>
        <v/>
      </c>
      <c r="CT22" s="3"/>
      <c r="CU22" s="3"/>
      <c r="CV22" s="511">
        <f t="shared" si="51"/>
        <v>0</v>
      </c>
      <c r="CW22" s="512" t="str">
        <f t="shared" si="52"/>
        <v/>
      </c>
      <c r="CX22" s="511">
        <f t="shared" si="53"/>
        <v>0</v>
      </c>
      <c r="CY22" s="511">
        <f t="shared" si="53"/>
        <v>0</v>
      </c>
      <c r="CZ22" s="511">
        <f t="shared" si="54"/>
        <v>0</v>
      </c>
      <c r="DA22" s="512" t="str">
        <f t="shared" si="55"/>
        <v/>
      </c>
      <c r="DB22" s="3"/>
      <c r="DC22" s="3"/>
      <c r="DD22" s="511">
        <f t="shared" si="56"/>
        <v>0</v>
      </c>
      <c r="DE22" s="512" t="str">
        <f t="shared" si="57"/>
        <v/>
      </c>
      <c r="DF22" s="3"/>
      <c r="DG22" s="3"/>
      <c r="DH22" s="511">
        <f t="shared" si="58"/>
        <v>0</v>
      </c>
      <c r="DI22" s="512" t="str">
        <f t="shared" si="59"/>
        <v/>
      </c>
      <c r="DJ22" s="511">
        <f t="shared" si="60"/>
        <v>0</v>
      </c>
      <c r="DK22" s="511">
        <f t="shared" si="60"/>
        <v>0</v>
      </c>
      <c r="DL22" s="511">
        <f t="shared" si="61"/>
        <v>0</v>
      </c>
      <c r="DM22" s="512" t="str">
        <f t="shared" si="62"/>
        <v/>
      </c>
      <c r="DN22" s="3"/>
      <c r="DO22" s="3"/>
      <c r="DP22" s="511">
        <f t="shared" si="63"/>
        <v>0</v>
      </c>
      <c r="DQ22" s="512" t="str">
        <f t="shared" si="64"/>
        <v/>
      </c>
      <c r="DR22" s="511">
        <f t="shared" si="65"/>
        <v>0.12</v>
      </c>
      <c r="DS22" s="511">
        <f t="shared" si="66"/>
        <v>0</v>
      </c>
      <c r="DT22" s="511">
        <f t="shared" si="67"/>
        <v>0.12</v>
      </c>
      <c r="DU22" s="512" t="str">
        <f t="shared" si="68"/>
        <v/>
      </c>
    </row>
    <row r="23" spans="1:125" x14ac:dyDescent="0.25">
      <c r="A23" s="2" t="s">
        <v>36</v>
      </c>
      <c r="B23" s="511">
        <f>5205.86</f>
        <v>5205.8599999999997</v>
      </c>
      <c r="C23" s="3"/>
      <c r="D23" s="511">
        <f t="shared" si="0"/>
        <v>5205.8599999999997</v>
      </c>
      <c r="E23" s="512" t="str">
        <f t="shared" si="1"/>
        <v/>
      </c>
      <c r="F23" s="3"/>
      <c r="G23" s="3"/>
      <c r="H23" s="511">
        <f t="shared" si="2"/>
        <v>0</v>
      </c>
      <c r="I23" s="512" t="str">
        <f t="shared" si="3"/>
        <v/>
      </c>
      <c r="J23" s="3"/>
      <c r="K23" s="3"/>
      <c r="L23" s="511">
        <f t="shared" si="4"/>
        <v>0</v>
      </c>
      <c r="M23" s="512" t="str">
        <f t="shared" si="5"/>
        <v/>
      </c>
      <c r="N23" s="3"/>
      <c r="O23" s="3"/>
      <c r="P23" s="511">
        <f t="shared" si="6"/>
        <v>0</v>
      </c>
      <c r="Q23" s="512" t="str">
        <f t="shared" si="7"/>
        <v/>
      </c>
      <c r="R23" s="3"/>
      <c r="S23" s="3"/>
      <c r="T23" s="511">
        <f t="shared" si="8"/>
        <v>0</v>
      </c>
      <c r="U23" s="512" t="str">
        <f t="shared" si="9"/>
        <v/>
      </c>
      <c r="V23" s="3"/>
      <c r="W23" s="3"/>
      <c r="X23" s="511">
        <f t="shared" si="10"/>
        <v>0</v>
      </c>
      <c r="Y23" s="512" t="str">
        <f t="shared" si="11"/>
        <v/>
      </c>
      <c r="Z23" s="3"/>
      <c r="AA23" s="3"/>
      <c r="AB23" s="511">
        <f t="shared" si="12"/>
        <v>0</v>
      </c>
      <c r="AC23" s="512" t="str">
        <f t="shared" si="13"/>
        <v/>
      </c>
      <c r="AD23" s="3"/>
      <c r="AE23" s="3"/>
      <c r="AF23" s="511">
        <f t="shared" si="14"/>
        <v>0</v>
      </c>
      <c r="AG23" s="512" t="str">
        <f t="shared" si="15"/>
        <v/>
      </c>
      <c r="AH23" s="3"/>
      <c r="AI23" s="3"/>
      <c r="AJ23" s="511">
        <f t="shared" si="16"/>
        <v>0</v>
      </c>
      <c r="AK23" s="512" t="str">
        <f t="shared" si="17"/>
        <v/>
      </c>
      <c r="AL23" s="3"/>
      <c r="AM23" s="3"/>
      <c r="AN23" s="511">
        <f t="shared" si="18"/>
        <v>0</v>
      </c>
      <c r="AO23" s="512" t="str">
        <f t="shared" si="19"/>
        <v/>
      </c>
      <c r="AP23" s="3"/>
      <c r="AQ23" s="3"/>
      <c r="AR23" s="511">
        <f t="shared" si="20"/>
        <v>0</v>
      </c>
      <c r="AS23" s="512" t="str">
        <f t="shared" si="21"/>
        <v/>
      </c>
      <c r="AT23" s="3"/>
      <c r="AU23" s="3"/>
      <c r="AV23" s="511">
        <f t="shared" si="22"/>
        <v>0</v>
      </c>
      <c r="AW23" s="512" t="str">
        <f t="shared" si="23"/>
        <v/>
      </c>
      <c r="AX23" s="511">
        <f t="shared" si="24"/>
        <v>0</v>
      </c>
      <c r="AY23" s="511">
        <f t="shared" si="24"/>
        <v>0</v>
      </c>
      <c r="AZ23" s="511">
        <f t="shared" si="25"/>
        <v>0</v>
      </c>
      <c r="BA23" s="512" t="str">
        <f t="shared" si="26"/>
        <v/>
      </c>
      <c r="BB23" s="3"/>
      <c r="BC23" s="3"/>
      <c r="BD23" s="511">
        <f t="shared" si="27"/>
        <v>0</v>
      </c>
      <c r="BE23" s="512" t="str">
        <f t="shared" si="28"/>
        <v/>
      </c>
      <c r="BF23" s="3"/>
      <c r="BG23" s="3"/>
      <c r="BH23" s="511">
        <f t="shared" si="29"/>
        <v>0</v>
      </c>
      <c r="BI23" s="512" t="str">
        <f t="shared" si="30"/>
        <v/>
      </c>
      <c r="BJ23" s="3"/>
      <c r="BK23" s="3"/>
      <c r="BL23" s="511">
        <f t="shared" si="31"/>
        <v>0</v>
      </c>
      <c r="BM23" s="512" t="str">
        <f t="shared" si="32"/>
        <v/>
      </c>
      <c r="BN23" s="3"/>
      <c r="BO23" s="3"/>
      <c r="BP23" s="511">
        <f t="shared" si="33"/>
        <v>0</v>
      </c>
      <c r="BQ23" s="512" t="str">
        <f t="shared" si="34"/>
        <v/>
      </c>
      <c r="BR23" s="511">
        <f t="shared" si="35"/>
        <v>0</v>
      </c>
      <c r="BS23" s="511">
        <f t="shared" si="35"/>
        <v>0</v>
      </c>
      <c r="BT23" s="511">
        <f t="shared" si="36"/>
        <v>0</v>
      </c>
      <c r="BU23" s="512" t="str">
        <f t="shared" si="37"/>
        <v/>
      </c>
      <c r="BV23" s="3"/>
      <c r="BW23" s="3"/>
      <c r="BX23" s="511">
        <f t="shared" si="38"/>
        <v>0</v>
      </c>
      <c r="BY23" s="512" t="str">
        <f t="shared" si="39"/>
        <v/>
      </c>
      <c r="BZ23" s="3"/>
      <c r="CA23" s="3"/>
      <c r="CB23" s="511">
        <f t="shared" si="40"/>
        <v>0</v>
      </c>
      <c r="CC23" s="512" t="str">
        <f t="shared" si="41"/>
        <v/>
      </c>
      <c r="CD23" s="3"/>
      <c r="CE23" s="3"/>
      <c r="CF23" s="511">
        <f t="shared" si="42"/>
        <v>0</v>
      </c>
      <c r="CG23" s="512" t="str">
        <f t="shared" si="43"/>
        <v/>
      </c>
      <c r="CH23" s="3"/>
      <c r="CI23" s="3"/>
      <c r="CJ23" s="511">
        <f t="shared" si="44"/>
        <v>0</v>
      </c>
      <c r="CK23" s="512" t="str">
        <f t="shared" si="45"/>
        <v/>
      </c>
      <c r="CL23" s="511">
        <f t="shared" si="46"/>
        <v>0</v>
      </c>
      <c r="CM23" s="511">
        <f t="shared" si="46"/>
        <v>0</v>
      </c>
      <c r="CN23" s="511">
        <f t="shared" si="47"/>
        <v>0</v>
      </c>
      <c r="CO23" s="512" t="str">
        <f t="shared" si="48"/>
        <v/>
      </c>
      <c r="CP23" s="3"/>
      <c r="CQ23" s="3"/>
      <c r="CR23" s="511">
        <f t="shared" si="49"/>
        <v>0</v>
      </c>
      <c r="CS23" s="512" t="str">
        <f t="shared" si="50"/>
        <v/>
      </c>
      <c r="CT23" s="511">
        <f>13263.25</f>
        <v>13263.25</v>
      </c>
      <c r="CU23" s="3"/>
      <c r="CV23" s="511">
        <f t="shared" si="51"/>
        <v>13263.25</v>
      </c>
      <c r="CW23" s="512" t="str">
        <f t="shared" si="52"/>
        <v/>
      </c>
      <c r="CX23" s="511">
        <f t="shared" si="53"/>
        <v>13263.25</v>
      </c>
      <c r="CY23" s="511">
        <f t="shared" si="53"/>
        <v>0</v>
      </c>
      <c r="CZ23" s="511">
        <f t="shared" si="54"/>
        <v>13263.25</v>
      </c>
      <c r="DA23" s="512" t="str">
        <f t="shared" si="55"/>
        <v/>
      </c>
      <c r="DB23" s="511">
        <f>820.97</f>
        <v>820.97</v>
      </c>
      <c r="DC23" s="3"/>
      <c r="DD23" s="511">
        <f t="shared" si="56"/>
        <v>820.97</v>
      </c>
      <c r="DE23" s="512" t="str">
        <f t="shared" si="57"/>
        <v/>
      </c>
      <c r="DF23" s="3"/>
      <c r="DG23" s="3"/>
      <c r="DH23" s="511">
        <f t="shared" si="58"/>
        <v>0</v>
      </c>
      <c r="DI23" s="512" t="str">
        <f t="shared" si="59"/>
        <v/>
      </c>
      <c r="DJ23" s="511">
        <f t="shared" si="60"/>
        <v>820.97</v>
      </c>
      <c r="DK23" s="511">
        <f t="shared" si="60"/>
        <v>0</v>
      </c>
      <c r="DL23" s="511">
        <f t="shared" si="61"/>
        <v>820.97</v>
      </c>
      <c r="DM23" s="512" t="str">
        <f t="shared" si="62"/>
        <v/>
      </c>
      <c r="DN23" s="3"/>
      <c r="DO23" s="3"/>
      <c r="DP23" s="511">
        <f t="shared" si="63"/>
        <v>0</v>
      </c>
      <c r="DQ23" s="512" t="str">
        <f t="shared" si="64"/>
        <v/>
      </c>
      <c r="DR23" s="511">
        <f t="shared" si="65"/>
        <v>19290.080000000002</v>
      </c>
      <c r="DS23" s="511">
        <f t="shared" si="66"/>
        <v>0</v>
      </c>
      <c r="DT23" s="511">
        <f t="shared" si="67"/>
        <v>19290.080000000002</v>
      </c>
      <c r="DU23" s="512" t="str">
        <f t="shared" si="68"/>
        <v/>
      </c>
    </row>
    <row r="24" spans="1:125" x14ac:dyDescent="0.25">
      <c r="A24" s="2" t="s">
        <v>706</v>
      </c>
      <c r="B24" s="3"/>
      <c r="C24" s="511">
        <f>90000</f>
        <v>90000</v>
      </c>
      <c r="D24" s="511">
        <f t="shared" si="0"/>
        <v>-90000</v>
      </c>
      <c r="E24" s="512">
        <f t="shared" si="1"/>
        <v>0</v>
      </c>
      <c r="F24" s="3"/>
      <c r="G24" s="511">
        <f>25000</f>
        <v>25000</v>
      </c>
      <c r="H24" s="511">
        <f t="shared" si="2"/>
        <v>-25000</v>
      </c>
      <c r="I24" s="512">
        <f t="shared" si="3"/>
        <v>0</v>
      </c>
      <c r="J24" s="3"/>
      <c r="K24" s="511">
        <f>750</f>
        <v>750</v>
      </c>
      <c r="L24" s="511">
        <f t="shared" si="4"/>
        <v>-750</v>
      </c>
      <c r="M24" s="512">
        <f t="shared" si="5"/>
        <v>0</v>
      </c>
      <c r="N24" s="3"/>
      <c r="O24" s="3"/>
      <c r="P24" s="511">
        <f t="shared" si="6"/>
        <v>0</v>
      </c>
      <c r="Q24" s="512" t="str">
        <f t="shared" si="7"/>
        <v/>
      </c>
      <c r="R24" s="3"/>
      <c r="S24" s="3"/>
      <c r="T24" s="511">
        <f t="shared" si="8"/>
        <v>0</v>
      </c>
      <c r="U24" s="512" t="str">
        <f t="shared" si="9"/>
        <v/>
      </c>
      <c r="V24" s="3"/>
      <c r="W24" s="3"/>
      <c r="X24" s="511">
        <f t="shared" si="10"/>
        <v>0</v>
      </c>
      <c r="Y24" s="512" t="str">
        <f t="shared" si="11"/>
        <v/>
      </c>
      <c r="Z24" s="3"/>
      <c r="AA24" s="3"/>
      <c r="AB24" s="511">
        <f t="shared" si="12"/>
        <v>0</v>
      </c>
      <c r="AC24" s="512" t="str">
        <f t="shared" si="13"/>
        <v/>
      </c>
      <c r="AD24" s="3"/>
      <c r="AE24" s="3"/>
      <c r="AF24" s="511">
        <f t="shared" si="14"/>
        <v>0</v>
      </c>
      <c r="AG24" s="512" t="str">
        <f t="shared" si="15"/>
        <v/>
      </c>
      <c r="AH24" s="3"/>
      <c r="AI24" s="3"/>
      <c r="AJ24" s="511">
        <f t="shared" si="16"/>
        <v>0</v>
      </c>
      <c r="AK24" s="512" t="str">
        <f t="shared" si="17"/>
        <v/>
      </c>
      <c r="AL24" s="3"/>
      <c r="AM24" s="3"/>
      <c r="AN24" s="511">
        <f t="shared" si="18"/>
        <v>0</v>
      </c>
      <c r="AO24" s="512" t="str">
        <f t="shared" si="19"/>
        <v/>
      </c>
      <c r="AP24" s="3"/>
      <c r="AQ24" s="3"/>
      <c r="AR24" s="511">
        <f t="shared" si="20"/>
        <v>0</v>
      </c>
      <c r="AS24" s="512" t="str">
        <f t="shared" si="21"/>
        <v/>
      </c>
      <c r="AT24" s="3"/>
      <c r="AU24" s="3"/>
      <c r="AV24" s="511">
        <f t="shared" si="22"/>
        <v>0</v>
      </c>
      <c r="AW24" s="512" t="str">
        <f t="shared" si="23"/>
        <v/>
      </c>
      <c r="AX24" s="511">
        <f t="shared" si="24"/>
        <v>0</v>
      </c>
      <c r="AY24" s="511">
        <f t="shared" si="24"/>
        <v>0</v>
      </c>
      <c r="AZ24" s="511">
        <f t="shared" si="25"/>
        <v>0</v>
      </c>
      <c r="BA24" s="512" t="str">
        <f t="shared" si="26"/>
        <v/>
      </c>
      <c r="BB24" s="3"/>
      <c r="BC24" s="3"/>
      <c r="BD24" s="511">
        <f t="shared" si="27"/>
        <v>0</v>
      </c>
      <c r="BE24" s="512" t="str">
        <f t="shared" si="28"/>
        <v/>
      </c>
      <c r="BF24" s="3"/>
      <c r="BG24" s="3"/>
      <c r="BH24" s="511">
        <f t="shared" si="29"/>
        <v>0</v>
      </c>
      <c r="BI24" s="512" t="str">
        <f t="shared" si="30"/>
        <v/>
      </c>
      <c r="BJ24" s="3"/>
      <c r="BK24" s="3"/>
      <c r="BL24" s="511">
        <f t="shared" si="31"/>
        <v>0</v>
      </c>
      <c r="BM24" s="512" t="str">
        <f t="shared" si="32"/>
        <v/>
      </c>
      <c r="BN24" s="3"/>
      <c r="BO24" s="3"/>
      <c r="BP24" s="511">
        <f t="shared" si="33"/>
        <v>0</v>
      </c>
      <c r="BQ24" s="512" t="str">
        <f t="shared" si="34"/>
        <v/>
      </c>
      <c r="BR24" s="511">
        <f t="shared" si="35"/>
        <v>0</v>
      </c>
      <c r="BS24" s="511">
        <f t="shared" si="35"/>
        <v>0</v>
      </c>
      <c r="BT24" s="511">
        <f t="shared" si="36"/>
        <v>0</v>
      </c>
      <c r="BU24" s="512" t="str">
        <f t="shared" si="37"/>
        <v/>
      </c>
      <c r="BV24" s="3"/>
      <c r="BW24" s="3"/>
      <c r="BX24" s="511">
        <f t="shared" si="38"/>
        <v>0</v>
      </c>
      <c r="BY24" s="512" t="str">
        <f t="shared" si="39"/>
        <v/>
      </c>
      <c r="BZ24" s="3"/>
      <c r="CA24" s="3"/>
      <c r="CB24" s="511">
        <f t="shared" si="40"/>
        <v>0</v>
      </c>
      <c r="CC24" s="512" t="str">
        <f t="shared" si="41"/>
        <v/>
      </c>
      <c r="CD24" s="3"/>
      <c r="CE24" s="3"/>
      <c r="CF24" s="511">
        <f t="shared" si="42"/>
        <v>0</v>
      </c>
      <c r="CG24" s="512" t="str">
        <f t="shared" si="43"/>
        <v/>
      </c>
      <c r="CH24" s="3"/>
      <c r="CI24" s="3"/>
      <c r="CJ24" s="511">
        <f t="shared" si="44"/>
        <v>0</v>
      </c>
      <c r="CK24" s="512" t="str">
        <f t="shared" si="45"/>
        <v/>
      </c>
      <c r="CL24" s="511">
        <f t="shared" si="46"/>
        <v>0</v>
      </c>
      <c r="CM24" s="511">
        <f t="shared" si="46"/>
        <v>0</v>
      </c>
      <c r="CN24" s="511">
        <f t="shared" si="47"/>
        <v>0</v>
      </c>
      <c r="CO24" s="512" t="str">
        <f t="shared" si="48"/>
        <v/>
      </c>
      <c r="CP24" s="3"/>
      <c r="CQ24" s="3"/>
      <c r="CR24" s="511">
        <f t="shared" si="49"/>
        <v>0</v>
      </c>
      <c r="CS24" s="512" t="str">
        <f t="shared" si="50"/>
        <v/>
      </c>
      <c r="CT24" s="3"/>
      <c r="CU24" s="3"/>
      <c r="CV24" s="511">
        <f t="shared" si="51"/>
        <v>0</v>
      </c>
      <c r="CW24" s="512" t="str">
        <f t="shared" si="52"/>
        <v/>
      </c>
      <c r="CX24" s="511">
        <f t="shared" si="53"/>
        <v>0</v>
      </c>
      <c r="CY24" s="511">
        <f t="shared" si="53"/>
        <v>0</v>
      </c>
      <c r="CZ24" s="511">
        <f t="shared" si="54"/>
        <v>0</v>
      </c>
      <c r="DA24" s="512" t="str">
        <f t="shared" si="55"/>
        <v/>
      </c>
      <c r="DB24" s="3"/>
      <c r="DC24" s="3"/>
      <c r="DD24" s="511">
        <f t="shared" si="56"/>
        <v>0</v>
      </c>
      <c r="DE24" s="512" t="str">
        <f t="shared" si="57"/>
        <v/>
      </c>
      <c r="DF24" s="3"/>
      <c r="DG24" s="3"/>
      <c r="DH24" s="511">
        <f t="shared" si="58"/>
        <v>0</v>
      </c>
      <c r="DI24" s="512" t="str">
        <f t="shared" si="59"/>
        <v/>
      </c>
      <c r="DJ24" s="511">
        <f t="shared" si="60"/>
        <v>0</v>
      </c>
      <c r="DK24" s="511">
        <f t="shared" si="60"/>
        <v>0</v>
      </c>
      <c r="DL24" s="511">
        <f t="shared" si="61"/>
        <v>0</v>
      </c>
      <c r="DM24" s="512" t="str">
        <f t="shared" si="62"/>
        <v/>
      </c>
      <c r="DN24" s="3"/>
      <c r="DO24" s="3"/>
      <c r="DP24" s="511">
        <f t="shared" si="63"/>
        <v>0</v>
      </c>
      <c r="DQ24" s="512" t="str">
        <f t="shared" si="64"/>
        <v/>
      </c>
      <c r="DR24" s="511">
        <f t="shared" si="65"/>
        <v>0</v>
      </c>
      <c r="DS24" s="511">
        <f t="shared" si="66"/>
        <v>115750</v>
      </c>
      <c r="DT24" s="511">
        <f t="shared" si="67"/>
        <v>-115750</v>
      </c>
      <c r="DU24" s="512">
        <f t="shared" si="68"/>
        <v>0</v>
      </c>
    </row>
    <row r="25" spans="1:125" x14ac:dyDescent="0.25">
      <c r="A25" s="2" t="s">
        <v>707</v>
      </c>
      <c r="B25" s="3"/>
      <c r="C25" s="3"/>
      <c r="D25" s="511">
        <f t="shared" si="0"/>
        <v>0</v>
      </c>
      <c r="E25" s="512" t="str">
        <f t="shared" si="1"/>
        <v/>
      </c>
      <c r="F25" s="511">
        <f>-11771</f>
        <v>-11771</v>
      </c>
      <c r="G25" s="3"/>
      <c r="H25" s="511">
        <f t="shared" si="2"/>
        <v>-11771</v>
      </c>
      <c r="I25" s="512" t="str">
        <f t="shared" si="3"/>
        <v/>
      </c>
      <c r="J25" s="3"/>
      <c r="K25" s="3"/>
      <c r="L25" s="511">
        <f t="shared" si="4"/>
        <v>0</v>
      </c>
      <c r="M25" s="512" t="str">
        <f t="shared" si="5"/>
        <v/>
      </c>
      <c r="N25" s="3"/>
      <c r="O25" s="3"/>
      <c r="P25" s="511">
        <f t="shared" si="6"/>
        <v>0</v>
      </c>
      <c r="Q25" s="512" t="str">
        <f t="shared" si="7"/>
        <v/>
      </c>
      <c r="R25" s="3"/>
      <c r="S25" s="3"/>
      <c r="T25" s="511">
        <f t="shared" si="8"/>
        <v>0</v>
      </c>
      <c r="U25" s="512" t="str">
        <f t="shared" si="9"/>
        <v/>
      </c>
      <c r="V25" s="3"/>
      <c r="W25" s="3"/>
      <c r="X25" s="511">
        <f t="shared" si="10"/>
        <v>0</v>
      </c>
      <c r="Y25" s="512" t="str">
        <f t="shared" si="11"/>
        <v/>
      </c>
      <c r="Z25" s="3"/>
      <c r="AA25" s="3"/>
      <c r="AB25" s="511">
        <f t="shared" si="12"/>
        <v>0</v>
      </c>
      <c r="AC25" s="512" t="str">
        <f t="shared" si="13"/>
        <v/>
      </c>
      <c r="AD25" s="3"/>
      <c r="AE25" s="3"/>
      <c r="AF25" s="511">
        <f t="shared" si="14"/>
        <v>0</v>
      </c>
      <c r="AG25" s="512" t="str">
        <f t="shared" si="15"/>
        <v/>
      </c>
      <c r="AH25" s="3"/>
      <c r="AI25" s="3"/>
      <c r="AJ25" s="511">
        <f t="shared" si="16"/>
        <v>0</v>
      </c>
      <c r="AK25" s="512" t="str">
        <f t="shared" si="17"/>
        <v/>
      </c>
      <c r="AL25" s="3"/>
      <c r="AM25" s="3"/>
      <c r="AN25" s="511">
        <f t="shared" si="18"/>
        <v>0</v>
      </c>
      <c r="AO25" s="512" t="str">
        <f t="shared" si="19"/>
        <v/>
      </c>
      <c r="AP25" s="3"/>
      <c r="AQ25" s="3"/>
      <c r="AR25" s="511">
        <f t="shared" si="20"/>
        <v>0</v>
      </c>
      <c r="AS25" s="512" t="str">
        <f t="shared" si="21"/>
        <v/>
      </c>
      <c r="AT25" s="3"/>
      <c r="AU25" s="3"/>
      <c r="AV25" s="511">
        <f t="shared" si="22"/>
        <v>0</v>
      </c>
      <c r="AW25" s="512" t="str">
        <f t="shared" si="23"/>
        <v/>
      </c>
      <c r="AX25" s="511">
        <f t="shared" si="24"/>
        <v>0</v>
      </c>
      <c r="AY25" s="511">
        <f t="shared" si="24"/>
        <v>0</v>
      </c>
      <c r="AZ25" s="511">
        <f t="shared" si="25"/>
        <v>0</v>
      </c>
      <c r="BA25" s="512" t="str">
        <f t="shared" si="26"/>
        <v/>
      </c>
      <c r="BB25" s="3"/>
      <c r="BC25" s="3"/>
      <c r="BD25" s="511">
        <f t="shared" si="27"/>
        <v>0</v>
      </c>
      <c r="BE25" s="512" t="str">
        <f t="shared" si="28"/>
        <v/>
      </c>
      <c r="BF25" s="3"/>
      <c r="BG25" s="3"/>
      <c r="BH25" s="511">
        <f t="shared" si="29"/>
        <v>0</v>
      </c>
      <c r="BI25" s="512" t="str">
        <f t="shared" si="30"/>
        <v/>
      </c>
      <c r="BJ25" s="3"/>
      <c r="BK25" s="3"/>
      <c r="BL25" s="511">
        <f t="shared" si="31"/>
        <v>0</v>
      </c>
      <c r="BM25" s="512" t="str">
        <f t="shared" si="32"/>
        <v/>
      </c>
      <c r="BN25" s="3"/>
      <c r="BO25" s="3"/>
      <c r="BP25" s="511">
        <f t="shared" si="33"/>
        <v>0</v>
      </c>
      <c r="BQ25" s="512" t="str">
        <f t="shared" si="34"/>
        <v/>
      </c>
      <c r="BR25" s="511">
        <f t="shared" si="35"/>
        <v>0</v>
      </c>
      <c r="BS25" s="511">
        <f t="shared" si="35"/>
        <v>0</v>
      </c>
      <c r="BT25" s="511">
        <f t="shared" si="36"/>
        <v>0</v>
      </c>
      <c r="BU25" s="512" t="str">
        <f t="shared" si="37"/>
        <v/>
      </c>
      <c r="BV25" s="3"/>
      <c r="BW25" s="3"/>
      <c r="BX25" s="511">
        <f t="shared" si="38"/>
        <v>0</v>
      </c>
      <c r="BY25" s="512" t="str">
        <f t="shared" si="39"/>
        <v/>
      </c>
      <c r="BZ25" s="3"/>
      <c r="CA25" s="3"/>
      <c r="CB25" s="511">
        <f t="shared" si="40"/>
        <v>0</v>
      </c>
      <c r="CC25" s="512" t="str">
        <f t="shared" si="41"/>
        <v/>
      </c>
      <c r="CD25" s="3"/>
      <c r="CE25" s="3"/>
      <c r="CF25" s="511">
        <f t="shared" si="42"/>
        <v>0</v>
      </c>
      <c r="CG25" s="512" t="str">
        <f t="shared" si="43"/>
        <v/>
      </c>
      <c r="CH25" s="3"/>
      <c r="CI25" s="3"/>
      <c r="CJ25" s="511">
        <f t="shared" si="44"/>
        <v>0</v>
      </c>
      <c r="CK25" s="512" t="str">
        <f t="shared" si="45"/>
        <v/>
      </c>
      <c r="CL25" s="511">
        <f t="shared" si="46"/>
        <v>0</v>
      </c>
      <c r="CM25" s="511">
        <f t="shared" si="46"/>
        <v>0</v>
      </c>
      <c r="CN25" s="511">
        <f t="shared" si="47"/>
        <v>0</v>
      </c>
      <c r="CO25" s="512" t="str">
        <f t="shared" si="48"/>
        <v/>
      </c>
      <c r="CP25" s="3"/>
      <c r="CQ25" s="3"/>
      <c r="CR25" s="511">
        <f t="shared" si="49"/>
        <v>0</v>
      </c>
      <c r="CS25" s="512" t="str">
        <f t="shared" si="50"/>
        <v/>
      </c>
      <c r="CT25" s="3"/>
      <c r="CU25" s="3"/>
      <c r="CV25" s="511">
        <f t="shared" si="51"/>
        <v>0</v>
      </c>
      <c r="CW25" s="512" t="str">
        <f t="shared" si="52"/>
        <v/>
      </c>
      <c r="CX25" s="511">
        <f t="shared" si="53"/>
        <v>0</v>
      </c>
      <c r="CY25" s="511">
        <f t="shared" si="53"/>
        <v>0</v>
      </c>
      <c r="CZ25" s="511">
        <f t="shared" si="54"/>
        <v>0</v>
      </c>
      <c r="DA25" s="512" t="str">
        <f t="shared" si="55"/>
        <v/>
      </c>
      <c r="DB25" s="3"/>
      <c r="DC25" s="3"/>
      <c r="DD25" s="511">
        <f t="shared" si="56"/>
        <v>0</v>
      </c>
      <c r="DE25" s="512" t="str">
        <f t="shared" si="57"/>
        <v/>
      </c>
      <c r="DF25" s="3"/>
      <c r="DG25" s="3"/>
      <c r="DH25" s="511">
        <f t="shared" si="58"/>
        <v>0</v>
      </c>
      <c r="DI25" s="512" t="str">
        <f t="shared" si="59"/>
        <v/>
      </c>
      <c r="DJ25" s="511">
        <f t="shared" si="60"/>
        <v>0</v>
      </c>
      <c r="DK25" s="511">
        <f t="shared" si="60"/>
        <v>0</v>
      </c>
      <c r="DL25" s="511">
        <f t="shared" si="61"/>
        <v>0</v>
      </c>
      <c r="DM25" s="512" t="str">
        <f t="shared" si="62"/>
        <v/>
      </c>
      <c r="DN25" s="3"/>
      <c r="DO25" s="3"/>
      <c r="DP25" s="511">
        <f t="shared" si="63"/>
        <v>0</v>
      </c>
      <c r="DQ25" s="512" t="str">
        <f t="shared" si="64"/>
        <v/>
      </c>
      <c r="DR25" s="511">
        <f t="shared" si="65"/>
        <v>-11771</v>
      </c>
      <c r="DS25" s="511">
        <f t="shared" si="66"/>
        <v>0</v>
      </c>
      <c r="DT25" s="511">
        <f t="shared" si="67"/>
        <v>-11771</v>
      </c>
      <c r="DU25" s="512" t="str">
        <f t="shared" si="68"/>
        <v/>
      </c>
    </row>
    <row r="26" spans="1:125" x14ac:dyDescent="0.25">
      <c r="A26" s="2" t="s">
        <v>708</v>
      </c>
      <c r="B26" s="513">
        <f>((B23)+(B24))+(B25)</f>
        <v>5205.8599999999997</v>
      </c>
      <c r="C26" s="513">
        <f>((C23)+(C24))+(C25)</f>
        <v>90000</v>
      </c>
      <c r="D26" s="513">
        <f t="shared" si="0"/>
        <v>-84794.14</v>
      </c>
      <c r="E26" s="514">
        <f t="shared" si="1"/>
        <v>5.7842888888888888E-2</v>
      </c>
      <c r="F26" s="513">
        <f>((F23)+(F24))+(F25)</f>
        <v>-11771</v>
      </c>
      <c r="G26" s="513">
        <f>((G23)+(G24))+(G25)</f>
        <v>25000</v>
      </c>
      <c r="H26" s="513">
        <f t="shared" si="2"/>
        <v>-36771</v>
      </c>
      <c r="I26" s="514">
        <f t="shared" si="3"/>
        <v>-0.47083999999999998</v>
      </c>
      <c r="J26" s="513">
        <f>((J23)+(J24))+(J25)</f>
        <v>0</v>
      </c>
      <c r="K26" s="513">
        <f>((K23)+(K24))+(K25)</f>
        <v>750</v>
      </c>
      <c r="L26" s="513">
        <f t="shared" si="4"/>
        <v>-750</v>
      </c>
      <c r="M26" s="514">
        <f t="shared" si="5"/>
        <v>0</v>
      </c>
      <c r="N26" s="513">
        <f>((N23)+(N24))+(N25)</f>
        <v>0</v>
      </c>
      <c r="O26" s="513">
        <f>((O23)+(O24))+(O25)</f>
        <v>0</v>
      </c>
      <c r="P26" s="513">
        <f t="shared" si="6"/>
        <v>0</v>
      </c>
      <c r="Q26" s="514" t="str">
        <f t="shared" si="7"/>
        <v/>
      </c>
      <c r="R26" s="513">
        <f>((R23)+(R24))+(R25)</f>
        <v>0</v>
      </c>
      <c r="S26" s="513">
        <f>((S23)+(S24))+(S25)</f>
        <v>0</v>
      </c>
      <c r="T26" s="513">
        <f t="shared" si="8"/>
        <v>0</v>
      </c>
      <c r="U26" s="514" t="str">
        <f t="shared" si="9"/>
        <v/>
      </c>
      <c r="V26" s="513">
        <f>((V23)+(V24))+(V25)</f>
        <v>0</v>
      </c>
      <c r="W26" s="513">
        <f>((W23)+(W24))+(W25)</f>
        <v>0</v>
      </c>
      <c r="X26" s="513">
        <f t="shared" si="10"/>
        <v>0</v>
      </c>
      <c r="Y26" s="514" t="str">
        <f t="shared" si="11"/>
        <v/>
      </c>
      <c r="Z26" s="513">
        <f>((Z23)+(Z24))+(Z25)</f>
        <v>0</v>
      </c>
      <c r="AA26" s="513">
        <f>((AA23)+(AA24))+(AA25)</f>
        <v>0</v>
      </c>
      <c r="AB26" s="513">
        <f t="shared" si="12"/>
        <v>0</v>
      </c>
      <c r="AC26" s="514" t="str">
        <f t="shared" si="13"/>
        <v/>
      </c>
      <c r="AD26" s="513">
        <f>((AD23)+(AD24))+(AD25)</f>
        <v>0</v>
      </c>
      <c r="AE26" s="513">
        <f>((AE23)+(AE24))+(AE25)</f>
        <v>0</v>
      </c>
      <c r="AF26" s="513">
        <f t="shared" si="14"/>
        <v>0</v>
      </c>
      <c r="AG26" s="514" t="str">
        <f t="shared" si="15"/>
        <v/>
      </c>
      <c r="AH26" s="513">
        <f>((AH23)+(AH24))+(AH25)</f>
        <v>0</v>
      </c>
      <c r="AI26" s="513">
        <f>((AI23)+(AI24))+(AI25)</f>
        <v>0</v>
      </c>
      <c r="AJ26" s="513">
        <f t="shared" si="16"/>
        <v>0</v>
      </c>
      <c r="AK26" s="514" t="str">
        <f t="shared" si="17"/>
        <v/>
      </c>
      <c r="AL26" s="513">
        <f>((AL23)+(AL24))+(AL25)</f>
        <v>0</v>
      </c>
      <c r="AM26" s="513">
        <f>((AM23)+(AM24))+(AM25)</f>
        <v>0</v>
      </c>
      <c r="AN26" s="513">
        <f t="shared" si="18"/>
        <v>0</v>
      </c>
      <c r="AO26" s="514" t="str">
        <f t="shared" si="19"/>
        <v/>
      </c>
      <c r="AP26" s="513">
        <f>((AP23)+(AP24))+(AP25)</f>
        <v>0</v>
      </c>
      <c r="AQ26" s="513">
        <f>((AQ23)+(AQ24))+(AQ25)</f>
        <v>0</v>
      </c>
      <c r="AR26" s="513">
        <f t="shared" si="20"/>
        <v>0</v>
      </c>
      <c r="AS26" s="514" t="str">
        <f t="shared" si="21"/>
        <v/>
      </c>
      <c r="AT26" s="513">
        <f>((AT23)+(AT24))+(AT25)</f>
        <v>0</v>
      </c>
      <c r="AU26" s="513">
        <f>((AU23)+(AU24))+(AU25)</f>
        <v>0</v>
      </c>
      <c r="AV26" s="513">
        <f t="shared" si="22"/>
        <v>0</v>
      </c>
      <c r="AW26" s="514" t="str">
        <f t="shared" si="23"/>
        <v/>
      </c>
      <c r="AX26" s="513">
        <f t="shared" si="24"/>
        <v>0</v>
      </c>
      <c r="AY26" s="513">
        <f t="shared" si="24"/>
        <v>0</v>
      </c>
      <c r="AZ26" s="513">
        <f t="shared" si="25"/>
        <v>0</v>
      </c>
      <c r="BA26" s="514" t="str">
        <f t="shared" si="26"/>
        <v/>
      </c>
      <c r="BB26" s="513">
        <f>((BB23)+(BB24))+(BB25)</f>
        <v>0</v>
      </c>
      <c r="BC26" s="513">
        <f>((BC23)+(BC24))+(BC25)</f>
        <v>0</v>
      </c>
      <c r="BD26" s="513">
        <f t="shared" si="27"/>
        <v>0</v>
      </c>
      <c r="BE26" s="514" t="str">
        <f t="shared" si="28"/>
        <v/>
      </c>
      <c r="BF26" s="513">
        <f>((BF23)+(BF24))+(BF25)</f>
        <v>0</v>
      </c>
      <c r="BG26" s="513">
        <f>((BG23)+(BG24))+(BG25)</f>
        <v>0</v>
      </c>
      <c r="BH26" s="513">
        <f t="shared" si="29"/>
        <v>0</v>
      </c>
      <c r="BI26" s="514" t="str">
        <f t="shared" si="30"/>
        <v/>
      </c>
      <c r="BJ26" s="513">
        <f>((BJ23)+(BJ24))+(BJ25)</f>
        <v>0</v>
      </c>
      <c r="BK26" s="513">
        <f>((BK23)+(BK24))+(BK25)</f>
        <v>0</v>
      </c>
      <c r="BL26" s="513">
        <f t="shared" si="31"/>
        <v>0</v>
      </c>
      <c r="BM26" s="514" t="str">
        <f t="shared" si="32"/>
        <v/>
      </c>
      <c r="BN26" s="513">
        <f>((BN23)+(BN24))+(BN25)</f>
        <v>0</v>
      </c>
      <c r="BO26" s="513">
        <f>((BO23)+(BO24))+(BO25)</f>
        <v>0</v>
      </c>
      <c r="BP26" s="513">
        <f t="shared" si="33"/>
        <v>0</v>
      </c>
      <c r="BQ26" s="514" t="str">
        <f t="shared" si="34"/>
        <v/>
      </c>
      <c r="BR26" s="513">
        <f t="shared" si="35"/>
        <v>0</v>
      </c>
      <c r="BS26" s="513">
        <f t="shared" si="35"/>
        <v>0</v>
      </c>
      <c r="BT26" s="513">
        <f t="shared" si="36"/>
        <v>0</v>
      </c>
      <c r="BU26" s="514" t="str">
        <f t="shared" si="37"/>
        <v/>
      </c>
      <c r="BV26" s="513">
        <f>((BV23)+(BV24))+(BV25)</f>
        <v>0</v>
      </c>
      <c r="BW26" s="513">
        <f>((BW23)+(BW24))+(BW25)</f>
        <v>0</v>
      </c>
      <c r="BX26" s="513">
        <f t="shared" si="38"/>
        <v>0</v>
      </c>
      <c r="BY26" s="514" t="str">
        <f t="shared" si="39"/>
        <v/>
      </c>
      <c r="BZ26" s="513">
        <f>((BZ23)+(BZ24))+(BZ25)</f>
        <v>0</v>
      </c>
      <c r="CA26" s="513">
        <f>((CA23)+(CA24))+(CA25)</f>
        <v>0</v>
      </c>
      <c r="CB26" s="513">
        <f t="shared" si="40"/>
        <v>0</v>
      </c>
      <c r="CC26" s="514" t="str">
        <f t="shared" si="41"/>
        <v/>
      </c>
      <c r="CD26" s="513">
        <f>((CD23)+(CD24))+(CD25)</f>
        <v>0</v>
      </c>
      <c r="CE26" s="513">
        <f>((CE23)+(CE24))+(CE25)</f>
        <v>0</v>
      </c>
      <c r="CF26" s="513">
        <f t="shared" si="42"/>
        <v>0</v>
      </c>
      <c r="CG26" s="514" t="str">
        <f t="shared" si="43"/>
        <v/>
      </c>
      <c r="CH26" s="513">
        <f>((CH23)+(CH24))+(CH25)</f>
        <v>0</v>
      </c>
      <c r="CI26" s="513">
        <f>((CI23)+(CI24))+(CI25)</f>
        <v>0</v>
      </c>
      <c r="CJ26" s="513">
        <f t="shared" si="44"/>
        <v>0</v>
      </c>
      <c r="CK26" s="514" t="str">
        <f t="shared" si="45"/>
        <v/>
      </c>
      <c r="CL26" s="513">
        <f t="shared" si="46"/>
        <v>0</v>
      </c>
      <c r="CM26" s="513">
        <f t="shared" si="46"/>
        <v>0</v>
      </c>
      <c r="CN26" s="513">
        <f t="shared" si="47"/>
        <v>0</v>
      </c>
      <c r="CO26" s="514" t="str">
        <f t="shared" si="48"/>
        <v/>
      </c>
      <c r="CP26" s="513">
        <f>((CP23)+(CP24))+(CP25)</f>
        <v>0</v>
      </c>
      <c r="CQ26" s="513">
        <f>((CQ23)+(CQ24))+(CQ25)</f>
        <v>0</v>
      </c>
      <c r="CR26" s="513">
        <f t="shared" si="49"/>
        <v>0</v>
      </c>
      <c r="CS26" s="514" t="str">
        <f t="shared" si="50"/>
        <v/>
      </c>
      <c r="CT26" s="513">
        <f>((CT23)+(CT24))+(CT25)</f>
        <v>13263.25</v>
      </c>
      <c r="CU26" s="513">
        <f>((CU23)+(CU24))+(CU25)</f>
        <v>0</v>
      </c>
      <c r="CV26" s="513">
        <f t="shared" si="51"/>
        <v>13263.25</v>
      </c>
      <c r="CW26" s="514" t="str">
        <f t="shared" si="52"/>
        <v/>
      </c>
      <c r="CX26" s="513">
        <f t="shared" si="53"/>
        <v>13263.25</v>
      </c>
      <c r="CY26" s="513">
        <f t="shared" si="53"/>
        <v>0</v>
      </c>
      <c r="CZ26" s="513">
        <f t="shared" si="54"/>
        <v>13263.25</v>
      </c>
      <c r="DA26" s="514" t="str">
        <f t="shared" si="55"/>
        <v/>
      </c>
      <c r="DB26" s="513">
        <f>((DB23)+(DB24))+(DB25)</f>
        <v>820.97</v>
      </c>
      <c r="DC26" s="513">
        <f>((DC23)+(DC24))+(DC25)</f>
        <v>0</v>
      </c>
      <c r="DD26" s="513">
        <f t="shared" si="56"/>
        <v>820.97</v>
      </c>
      <c r="DE26" s="514" t="str">
        <f t="shared" si="57"/>
        <v/>
      </c>
      <c r="DF26" s="513">
        <f>((DF23)+(DF24))+(DF25)</f>
        <v>0</v>
      </c>
      <c r="DG26" s="513">
        <f>((DG23)+(DG24))+(DG25)</f>
        <v>0</v>
      </c>
      <c r="DH26" s="513">
        <f t="shared" si="58"/>
        <v>0</v>
      </c>
      <c r="DI26" s="514" t="str">
        <f t="shared" si="59"/>
        <v/>
      </c>
      <c r="DJ26" s="513">
        <f t="shared" si="60"/>
        <v>820.97</v>
      </c>
      <c r="DK26" s="513">
        <f t="shared" si="60"/>
        <v>0</v>
      </c>
      <c r="DL26" s="513">
        <f t="shared" si="61"/>
        <v>820.97</v>
      </c>
      <c r="DM26" s="514" t="str">
        <f t="shared" si="62"/>
        <v/>
      </c>
      <c r="DN26" s="513">
        <f>((DN23)+(DN24))+(DN25)</f>
        <v>0</v>
      </c>
      <c r="DO26" s="513">
        <f>((DO23)+(DO24))+(DO25)</f>
        <v>0</v>
      </c>
      <c r="DP26" s="513">
        <f t="shared" si="63"/>
        <v>0</v>
      </c>
      <c r="DQ26" s="514" t="str">
        <f t="shared" si="64"/>
        <v/>
      </c>
      <c r="DR26" s="513">
        <f t="shared" si="65"/>
        <v>7519.08</v>
      </c>
      <c r="DS26" s="513">
        <f t="shared" si="66"/>
        <v>115750</v>
      </c>
      <c r="DT26" s="513">
        <f t="shared" si="67"/>
        <v>-108230.92</v>
      </c>
      <c r="DU26" s="514">
        <f t="shared" si="68"/>
        <v>6.4959654427645785E-2</v>
      </c>
    </row>
    <row r="27" spans="1:125" x14ac:dyDescent="0.25">
      <c r="A27" s="2" t="s">
        <v>709</v>
      </c>
      <c r="B27" s="511">
        <f>18</f>
        <v>18</v>
      </c>
      <c r="C27" s="3"/>
      <c r="D27" s="511">
        <f t="shared" si="0"/>
        <v>18</v>
      </c>
      <c r="E27" s="512" t="str">
        <f t="shared" si="1"/>
        <v/>
      </c>
      <c r="F27" s="3"/>
      <c r="G27" s="3"/>
      <c r="H27" s="511">
        <f t="shared" si="2"/>
        <v>0</v>
      </c>
      <c r="I27" s="512" t="str">
        <f t="shared" si="3"/>
        <v/>
      </c>
      <c r="J27" s="3"/>
      <c r="K27" s="3"/>
      <c r="L27" s="511">
        <f t="shared" si="4"/>
        <v>0</v>
      </c>
      <c r="M27" s="512" t="str">
        <f t="shared" si="5"/>
        <v/>
      </c>
      <c r="N27" s="3"/>
      <c r="O27" s="3"/>
      <c r="P27" s="511">
        <f t="shared" si="6"/>
        <v>0</v>
      </c>
      <c r="Q27" s="512" t="str">
        <f t="shared" si="7"/>
        <v/>
      </c>
      <c r="R27" s="3"/>
      <c r="S27" s="3"/>
      <c r="T27" s="511">
        <f t="shared" si="8"/>
        <v>0</v>
      </c>
      <c r="U27" s="512" t="str">
        <f t="shared" si="9"/>
        <v/>
      </c>
      <c r="V27" s="3"/>
      <c r="W27" s="3"/>
      <c r="X27" s="511">
        <f t="shared" si="10"/>
        <v>0</v>
      </c>
      <c r="Y27" s="512" t="str">
        <f t="shared" si="11"/>
        <v/>
      </c>
      <c r="Z27" s="3"/>
      <c r="AA27" s="3"/>
      <c r="AB27" s="511">
        <f t="shared" si="12"/>
        <v>0</v>
      </c>
      <c r="AC27" s="512" t="str">
        <f t="shared" si="13"/>
        <v/>
      </c>
      <c r="AD27" s="3"/>
      <c r="AE27" s="3"/>
      <c r="AF27" s="511">
        <f t="shared" si="14"/>
        <v>0</v>
      </c>
      <c r="AG27" s="512" t="str">
        <f t="shared" si="15"/>
        <v/>
      </c>
      <c r="AH27" s="3"/>
      <c r="AI27" s="3"/>
      <c r="AJ27" s="511">
        <f t="shared" si="16"/>
        <v>0</v>
      </c>
      <c r="AK27" s="512" t="str">
        <f t="shared" si="17"/>
        <v/>
      </c>
      <c r="AL27" s="3"/>
      <c r="AM27" s="3"/>
      <c r="AN27" s="511">
        <f t="shared" si="18"/>
        <v>0</v>
      </c>
      <c r="AO27" s="512" t="str">
        <f t="shared" si="19"/>
        <v/>
      </c>
      <c r="AP27" s="3"/>
      <c r="AQ27" s="3"/>
      <c r="AR27" s="511">
        <f t="shared" si="20"/>
        <v>0</v>
      </c>
      <c r="AS27" s="512" t="str">
        <f t="shared" si="21"/>
        <v/>
      </c>
      <c r="AT27" s="3"/>
      <c r="AU27" s="3"/>
      <c r="AV27" s="511">
        <f t="shared" si="22"/>
        <v>0</v>
      </c>
      <c r="AW27" s="512" t="str">
        <f t="shared" si="23"/>
        <v/>
      </c>
      <c r="AX27" s="511">
        <f t="shared" si="24"/>
        <v>0</v>
      </c>
      <c r="AY27" s="511">
        <f t="shared" si="24"/>
        <v>0</v>
      </c>
      <c r="AZ27" s="511">
        <f t="shared" si="25"/>
        <v>0</v>
      </c>
      <c r="BA27" s="512" t="str">
        <f t="shared" si="26"/>
        <v/>
      </c>
      <c r="BB27" s="3"/>
      <c r="BC27" s="3"/>
      <c r="BD27" s="511">
        <f t="shared" si="27"/>
        <v>0</v>
      </c>
      <c r="BE27" s="512" t="str">
        <f t="shared" si="28"/>
        <v/>
      </c>
      <c r="BF27" s="3"/>
      <c r="BG27" s="3"/>
      <c r="BH27" s="511">
        <f t="shared" si="29"/>
        <v>0</v>
      </c>
      <c r="BI27" s="512" t="str">
        <f t="shared" si="30"/>
        <v/>
      </c>
      <c r="BJ27" s="3"/>
      <c r="BK27" s="3"/>
      <c r="BL27" s="511">
        <f t="shared" si="31"/>
        <v>0</v>
      </c>
      <c r="BM27" s="512" t="str">
        <f t="shared" si="32"/>
        <v/>
      </c>
      <c r="BN27" s="3"/>
      <c r="BO27" s="3"/>
      <c r="BP27" s="511">
        <f t="shared" si="33"/>
        <v>0</v>
      </c>
      <c r="BQ27" s="512" t="str">
        <f t="shared" si="34"/>
        <v/>
      </c>
      <c r="BR27" s="511">
        <f t="shared" si="35"/>
        <v>0</v>
      </c>
      <c r="BS27" s="511">
        <f t="shared" si="35"/>
        <v>0</v>
      </c>
      <c r="BT27" s="511">
        <f t="shared" si="36"/>
        <v>0</v>
      </c>
      <c r="BU27" s="512" t="str">
        <f t="shared" si="37"/>
        <v/>
      </c>
      <c r="BV27" s="3"/>
      <c r="BW27" s="3"/>
      <c r="BX27" s="511">
        <f t="shared" si="38"/>
        <v>0</v>
      </c>
      <c r="BY27" s="512" t="str">
        <f t="shared" si="39"/>
        <v/>
      </c>
      <c r="BZ27" s="3"/>
      <c r="CA27" s="3"/>
      <c r="CB27" s="511">
        <f t="shared" si="40"/>
        <v>0</v>
      </c>
      <c r="CC27" s="512" t="str">
        <f t="shared" si="41"/>
        <v/>
      </c>
      <c r="CD27" s="3"/>
      <c r="CE27" s="3"/>
      <c r="CF27" s="511">
        <f t="shared" si="42"/>
        <v>0</v>
      </c>
      <c r="CG27" s="512" t="str">
        <f t="shared" si="43"/>
        <v/>
      </c>
      <c r="CH27" s="3"/>
      <c r="CI27" s="3"/>
      <c r="CJ27" s="511">
        <f t="shared" si="44"/>
        <v>0</v>
      </c>
      <c r="CK27" s="512" t="str">
        <f t="shared" si="45"/>
        <v/>
      </c>
      <c r="CL27" s="511">
        <f t="shared" si="46"/>
        <v>0</v>
      </c>
      <c r="CM27" s="511">
        <f t="shared" si="46"/>
        <v>0</v>
      </c>
      <c r="CN27" s="511">
        <f t="shared" si="47"/>
        <v>0</v>
      </c>
      <c r="CO27" s="512" t="str">
        <f t="shared" si="48"/>
        <v/>
      </c>
      <c r="CP27" s="3"/>
      <c r="CQ27" s="3"/>
      <c r="CR27" s="511">
        <f t="shared" si="49"/>
        <v>0</v>
      </c>
      <c r="CS27" s="512" t="str">
        <f t="shared" si="50"/>
        <v/>
      </c>
      <c r="CT27" s="3"/>
      <c r="CU27" s="3"/>
      <c r="CV27" s="511">
        <f t="shared" si="51"/>
        <v>0</v>
      </c>
      <c r="CW27" s="512" t="str">
        <f t="shared" si="52"/>
        <v/>
      </c>
      <c r="CX27" s="511">
        <f t="shared" si="53"/>
        <v>0</v>
      </c>
      <c r="CY27" s="511">
        <f t="shared" si="53"/>
        <v>0</v>
      </c>
      <c r="CZ27" s="511">
        <f t="shared" si="54"/>
        <v>0</v>
      </c>
      <c r="DA27" s="512" t="str">
        <f t="shared" si="55"/>
        <v/>
      </c>
      <c r="DB27" s="511">
        <f>70.08</f>
        <v>70.08</v>
      </c>
      <c r="DC27" s="3"/>
      <c r="DD27" s="511">
        <f t="shared" si="56"/>
        <v>70.08</v>
      </c>
      <c r="DE27" s="512" t="str">
        <f t="shared" si="57"/>
        <v/>
      </c>
      <c r="DF27" s="3"/>
      <c r="DG27" s="3"/>
      <c r="DH27" s="511">
        <f t="shared" si="58"/>
        <v>0</v>
      </c>
      <c r="DI27" s="512" t="str">
        <f t="shared" si="59"/>
        <v/>
      </c>
      <c r="DJ27" s="511">
        <f t="shared" si="60"/>
        <v>70.08</v>
      </c>
      <c r="DK27" s="511">
        <f t="shared" si="60"/>
        <v>0</v>
      </c>
      <c r="DL27" s="511">
        <f t="shared" si="61"/>
        <v>70.08</v>
      </c>
      <c r="DM27" s="512" t="str">
        <f t="shared" si="62"/>
        <v/>
      </c>
      <c r="DN27" s="3"/>
      <c r="DO27" s="3"/>
      <c r="DP27" s="511">
        <f t="shared" si="63"/>
        <v>0</v>
      </c>
      <c r="DQ27" s="512" t="str">
        <f t="shared" si="64"/>
        <v/>
      </c>
      <c r="DR27" s="511">
        <f t="shared" si="65"/>
        <v>88.08</v>
      </c>
      <c r="DS27" s="511">
        <f t="shared" si="66"/>
        <v>0</v>
      </c>
      <c r="DT27" s="511">
        <f t="shared" si="67"/>
        <v>88.08</v>
      </c>
      <c r="DU27" s="512" t="str">
        <f t="shared" si="68"/>
        <v/>
      </c>
    </row>
    <row r="28" spans="1:125" x14ac:dyDescent="0.25">
      <c r="A28" s="2" t="s">
        <v>710</v>
      </c>
      <c r="B28" s="3"/>
      <c r="C28" s="3"/>
      <c r="D28" s="511">
        <f t="shared" si="0"/>
        <v>0</v>
      </c>
      <c r="E28" s="512" t="str">
        <f t="shared" si="1"/>
        <v/>
      </c>
      <c r="F28" s="3"/>
      <c r="G28" s="3"/>
      <c r="H28" s="511">
        <f t="shared" si="2"/>
        <v>0</v>
      </c>
      <c r="I28" s="512" t="str">
        <f t="shared" si="3"/>
        <v/>
      </c>
      <c r="J28" s="3"/>
      <c r="K28" s="3"/>
      <c r="L28" s="511">
        <f t="shared" si="4"/>
        <v>0</v>
      </c>
      <c r="M28" s="512" t="str">
        <f t="shared" si="5"/>
        <v/>
      </c>
      <c r="N28" s="3"/>
      <c r="O28" s="3"/>
      <c r="P28" s="511">
        <f t="shared" si="6"/>
        <v>0</v>
      </c>
      <c r="Q28" s="512" t="str">
        <f t="shared" si="7"/>
        <v/>
      </c>
      <c r="R28" s="3"/>
      <c r="S28" s="3"/>
      <c r="T28" s="511">
        <f t="shared" si="8"/>
        <v>0</v>
      </c>
      <c r="U28" s="512" t="str">
        <f t="shared" si="9"/>
        <v/>
      </c>
      <c r="V28" s="3"/>
      <c r="W28" s="3"/>
      <c r="X28" s="511">
        <f t="shared" si="10"/>
        <v>0</v>
      </c>
      <c r="Y28" s="512" t="str">
        <f t="shared" si="11"/>
        <v/>
      </c>
      <c r="Z28" s="3"/>
      <c r="AA28" s="3"/>
      <c r="AB28" s="511">
        <f t="shared" si="12"/>
        <v>0</v>
      </c>
      <c r="AC28" s="512" t="str">
        <f t="shared" si="13"/>
        <v/>
      </c>
      <c r="AD28" s="3"/>
      <c r="AE28" s="3"/>
      <c r="AF28" s="511">
        <f t="shared" si="14"/>
        <v>0</v>
      </c>
      <c r="AG28" s="512" t="str">
        <f t="shared" si="15"/>
        <v/>
      </c>
      <c r="AH28" s="3"/>
      <c r="AI28" s="3"/>
      <c r="AJ28" s="511">
        <f t="shared" si="16"/>
        <v>0</v>
      </c>
      <c r="AK28" s="512" t="str">
        <f t="shared" si="17"/>
        <v/>
      </c>
      <c r="AL28" s="3"/>
      <c r="AM28" s="3"/>
      <c r="AN28" s="511">
        <f t="shared" si="18"/>
        <v>0</v>
      </c>
      <c r="AO28" s="512" t="str">
        <f t="shared" si="19"/>
        <v/>
      </c>
      <c r="AP28" s="3"/>
      <c r="AQ28" s="3"/>
      <c r="AR28" s="511">
        <f t="shared" si="20"/>
        <v>0</v>
      </c>
      <c r="AS28" s="512" t="str">
        <f t="shared" si="21"/>
        <v/>
      </c>
      <c r="AT28" s="3"/>
      <c r="AU28" s="3"/>
      <c r="AV28" s="511">
        <f t="shared" si="22"/>
        <v>0</v>
      </c>
      <c r="AW28" s="512" t="str">
        <f t="shared" si="23"/>
        <v/>
      </c>
      <c r="AX28" s="511">
        <f t="shared" si="24"/>
        <v>0</v>
      </c>
      <c r="AY28" s="511">
        <f t="shared" si="24"/>
        <v>0</v>
      </c>
      <c r="AZ28" s="511">
        <f t="shared" si="25"/>
        <v>0</v>
      </c>
      <c r="BA28" s="512" t="str">
        <f t="shared" si="26"/>
        <v/>
      </c>
      <c r="BB28" s="3"/>
      <c r="BC28" s="3"/>
      <c r="BD28" s="511">
        <f t="shared" si="27"/>
        <v>0</v>
      </c>
      <c r="BE28" s="512" t="str">
        <f t="shared" si="28"/>
        <v/>
      </c>
      <c r="BF28" s="3"/>
      <c r="BG28" s="3"/>
      <c r="BH28" s="511">
        <f t="shared" si="29"/>
        <v>0</v>
      </c>
      <c r="BI28" s="512" t="str">
        <f t="shared" si="30"/>
        <v/>
      </c>
      <c r="BJ28" s="3"/>
      <c r="BK28" s="3"/>
      <c r="BL28" s="511">
        <f t="shared" si="31"/>
        <v>0</v>
      </c>
      <c r="BM28" s="512" t="str">
        <f t="shared" si="32"/>
        <v/>
      </c>
      <c r="BN28" s="3"/>
      <c r="BO28" s="3"/>
      <c r="BP28" s="511">
        <f t="shared" si="33"/>
        <v>0</v>
      </c>
      <c r="BQ28" s="512" t="str">
        <f t="shared" si="34"/>
        <v/>
      </c>
      <c r="BR28" s="511">
        <f t="shared" si="35"/>
        <v>0</v>
      </c>
      <c r="BS28" s="511">
        <f t="shared" si="35"/>
        <v>0</v>
      </c>
      <c r="BT28" s="511">
        <f t="shared" si="36"/>
        <v>0</v>
      </c>
      <c r="BU28" s="512" t="str">
        <f t="shared" si="37"/>
        <v/>
      </c>
      <c r="BV28" s="3"/>
      <c r="BW28" s="3"/>
      <c r="BX28" s="511">
        <f t="shared" si="38"/>
        <v>0</v>
      </c>
      <c r="BY28" s="512" t="str">
        <f t="shared" si="39"/>
        <v/>
      </c>
      <c r="BZ28" s="3"/>
      <c r="CA28" s="3"/>
      <c r="CB28" s="511">
        <f t="shared" si="40"/>
        <v>0</v>
      </c>
      <c r="CC28" s="512" t="str">
        <f t="shared" si="41"/>
        <v/>
      </c>
      <c r="CD28" s="3"/>
      <c r="CE28" s="3"/>
      <c r="CF28" s="511">
        <f t="shared" si="42"/>
        <v>0</v>
      </c>
      <c r="CG28" s="512" t="str">
        <f t="shared" si="43"/>
        <v/>
      </c>
      <c r="CH28" s="3"/>
      <c r="CI28" s="3"/>
      <c r="CJ28" s="511">
        <f t="shared" si="44"/>
        <v>0</v>
      </c>
      <c r="CK28" s="512" t="str">
        <f t="shared" si="45"/>
        <v/>
      </c>
      <c r="CL28" s="511">
        <f t="shared" si="46"/>
        <v>0</v>
      </c>
      <c r="CM28" s="511">
        <f t="shared" si="46"/>
        <v>0</v>
      </c>
      <c r="CN28" s="511">
        <f t="shared" si="47"/>
        <v>0</v>
      </c>
      <c r="CO28" s="512" t="str">
        <f t="shared" si="48"/>
        <v/>
      </c>
      <c r="CP28" s="3"/>
      <c r="CQ28" s="3"/>
      <c r="CR28" s="511">
        <f t="shared" si="49"/>
        <v>0</v>
      </c>
      <c r="CS28" s="512" t="str">
        <f t="shared" si="50"/>
        <v/>
      </c>
      <c r="CT28" s="3"/>
      <c r="CU28" s="3"/>
      <c r="CV28" s="511">
        <f t="shared" si="51"/>
        <v>0</v>
      </c>
      <c r="CW28" s="512" t="str">
        <f t="shared" si="52"/>
        <v/>
      </c>
      <c r="CX28" s="511">
        <f t="shared" si="53"/>
        <v>0</v>
      </c>
      <c r="CY28" s="511">
        <f t="shared" si="53"/>
        <v>0</v>
      </c>
      <c r="CZ28" s="511">
        <f t="shared" si="54"/>
        <v>0</v>
      </c>
      <c r="DA28" s="512" t="str">
        <f t="shared" si="55"/>
        <v/>
      </c>
      <c r="DB28" s="3"/>
      <c r="DC28" s="3"/>
      <c r="DD28" s="511">
        <f t="shared" si="56"/>
        <v>0</v>
      </c>
      <c r="DE28" s="512" t="str">
        <f t="shared" si="57"/>
        <v/>
      </c>
      <c r="DF28" s="3"/>
      <c r="DG28" s="3"/>
      <c r="DH28" s="511">
        <f t="shared" si="58"/>
        <v>0</v>
      </c>
      <c r="DI28" s="512" t="str">
        <f t="shared" si="59"/>
        <v/>
      </c>
      <c r="DJ28" s="511">
        <f t="shared" si="60"/>
        <v>0</v>
      </c>
      <c r="DK28" s="511">
        <f t="shared" si="60"/>
        <v>0</v>
      </c>
      <c r="DL28" s="511">
        <f t="shared" si="61"/>
        <v>0</v>
      </c>
      <c r="DM28" s="512" t="str">
        <f t="shared" si="62"/>
        <v/>
      </c>
      <c r="DN28" s="511">
        <f>0</f>
        <v>0</v>
      </c>
      <c r="DO28" s="3"/>
      <c r="DP28" s="511">
        <f t="shared" si="63"/>
        <v>0</v>
      </c>
      <c r="DQ28" s="512" t="str">
        <f t="shared" si="64"/>
        <v/>
      </c>
      <c r="DR28" s="511">
        <f t="shared" si="65"/>
        <v>0</v>
      </c>
      <c r="DS28" s="511">
        <f t="shared" si="66"/>
        <v>0</v>
      </c>
      <c r="DT28" s="511">
        <f t="shared" si="67"/>
        <v>0</v>
      </c>
      <c r="DU28" s="512" t="str">
        <f t="shared" si="68"/>
        <v/>
      </c>
    </row>
    <row r="29" spans="1:125" x14ac:dyDescent="0.25">
      <c r="A29" s="2" t="s">
        <v>38</v>
      </c>
      <c r="B29" s="513">
        <f>((((((((((((B8)+(B12))+(B13))+(B14))+(B15))+(B16))+(B17))+(B18))+(B21))+(B22))+(B26))+(B27))+(B28)</f>
        <v>83400.159999999989</v>
      </c>
      <c r="C29" s="513">
        <f>((((((((((((C8)+(C12))+(C13))+(C14))+(C15))+(C16))+(C17))+(C18))+(C21))+(C22))+(C26))+(C27))+(C28)</f>
        <v>143200.5</v>
      </c>
      <c r="D29" s="513">
        <f t="shared" si="0"/>
        <v>-59800.340000000011</v>
      </c>
      <c r="E29" s="514">
        <f t="shared" si="1"/>
        <v>0.58240131843115062</v>
      </c>
      <c r="F29" s="513">
        <f>((((((((((((F8)+(F12))+(F13))+(F14))+(F15))+(F16))+(F17))+(F18))+(F21))+(F22))+(F26))+(F27))+(F28)</f>
        <v>296679</v>
      </c>
      <c r="G29" s="513">
        <f>((((((((((((G8)+(G12))+(G13))+(G14))+(G15))+(G16))+(G17))+(G18))+(G21))+(G22))+(G26))+(G27))+(G28)</f>
        <v>251914</v>
      </c>
      <c r="H29" s="513">
        <f t="shared" si="2"/>
        <v>44765</v>
      </c>
      <c r="I29" s="514">
        <f t="shared" si="3"/>
        <v>1.1776995323800981</v>
      </c>
      <c r="J29" s="513">
        <f>((((((((((((J8)+(J12))+(J13))+(J14))+(J15))+(J16))+(J17))+(J18))+(J21))+(J22))+(J26))+(J27))+(J28)</f>
        <v>111736.26</v>
      </c>
      <c r="K29" s="513">
        <f>((((((((((((K8)+(K12))+(K13))+(K14))+(K15))+(K16))+(K17))+(K18))+(K21))+(K22))+(K26))+(K27))+(K28)</f>
        <v>125750</v>
      </c>
      <c r="L29" s="513">
        <f t="shared" si="4"/>
        <v>-14013.740000000005</v>
      </c>
      <c r="M29" s="514">
        <f t="shared" si="5"/>
        <v>0.88855872763419474</v>
      </c>
      <c r="N29" s="513">
        <f>((((((((((((N8)+(N12))+(N13))+(N14))+(N15))+(N16))+(N17))+(N18))+(N21))+(N22))+(N26))+(N27))+(N28)</f>
        <v>100910.76</v>
      </c>
      <c r="O29" s="513">
        <f>((((((((((((O8)+(O12))+(O13))+(O14))+(O15))+(O16))+(O17))+(O18))+(O21))+(O22))+(O26))+(O27))+(O28)</f>
        <v>0</v>
      </c>
      <c r="P29" s="513">
        <f t="shared" si="6"/>
        <v>100910.76</v>
      </c>
      <c r="Q29" s="514" t="str">
        <f t="shared" si="7"/>
        <v/>
      </c>
      <c r="R29" s="513">
        <f>((((((((((((R8)+(R12))+(R13))+(R14))+(R15))+(R16))+(R17))+(R18))+(R21))+(R22))+(R26))+(R27))+(R28)</f>
        <v>0</v>
      </c>
      <c r="S29" s="513">
        <f>((((((((((((S8)+(S12))+(S13))+(S14))+(S15))+(S16))+(S17))+(S18))+(S21))+(S22))+(S26))+(S27))+(S28)</f>
        <v>0</v>
      </c>
      <c r="T29" s="513">
        <f t="shared" si="8"/>
        <v>0</v>
      </c>
      <c r="U29" s="514" t="str">
        <f t="shared" si="9"/>
        <v/>
      </c>
      <c r="V29" s="513">
        <f>((((((((((((V8)+(V12))+(V13))+(V14))+(V15))+(V16))+(V17))+(V18))+(V21))+(V22))+(V26))+(V27))+(V28)</f>
        <v>180750</v>
      </c>
      <c r="W29" s="513">
        <f>((((((((((((W8)+(W12))+(W13))+(W14))+(W15))+(W16))+(W17))+(W18))+(W21))+(W22))+(W26))+(W27))+(W28)</f>
        <v>200000</v>
      </c>
      <c r="X29" s="513">
        <f t="shared" si="10"/>
        <v>-19250</v>
      </c>
      <c r="Y29" s="514">
        <f t="shared" si="11"/>
        <v>0.90375000000000005</v>
      </c>
      <c r="Z29" s="513">
        <f>((((((((((((Z8)+(Z12))+(Z13))+(Z14))+(Z15))+(Z16))+(Z17))+(Z18))+(Z21))+(Z22))+(Z26))+(Z27))+(Z28)</f>
        <v>0</v>
      </c>
      <c r="AA29" s="513">
        <f>((((((((((((AA8)+(AA12))+(AA13))+(AA14))+(AA15))+(AA16))+(AA17))+(AA18))+(AA21))+(AA22))+(AA26))+(AA27))+(AA28)</f>
        <v>0</v>
      </c>
      <c r="AB29" s="513">
        <f t="shared" si="12"/>
        <v>0</v>
      </c>
      <c r="AC29" s="514" t="str">
        <f t="shared" si="13"/>
        <v/>
      </c>
      <c r="AD29" s="513">
        <f>((((((((((((AD8)+(AD12))+(AD13))+(AD14))+(AD15))+(AD16))+(AD17))+(AD18))+(AD21))+(AD22))+(AD26))+(AD27))+(AD28)</f>
        <v>0</v>
      </c>
      <c r="AE29" s="513">
        <f>((((((((((((AE8)+(AE12))+(AE13))+(AE14))+(AE15))+(AE16))+(AE17))+(AE18))+(AE21))+(AE22))+(AE26))+(AE27))+(AE28)</f>
        <v>0</v>
      </c>
      <c r="AF29" s="513">
        <f t="shared" si="14"/>
        <v>0</v>
      </c>
      <c r="AG29" s="514" t="str">
        <f t="shared" si="15"/>
        <v/>
      </c>
      <c r="AH29" s="513">
        <f>((((((((((((AH8)+(AH12))+(AH13))+(AH14))+(AH15))+(AH16))+(AH17))+(AH18))+(AH21))+(AH22))+(AH26))+(AH27))+(AH28)</f>
        <v>0</v>
      </c>
      <c r="AI29" s="513">
        <f>((((((((((((AI8)+(AI12))+(AI13))+(AI14))+(AI15))+(AI16))+(AI17))+(AI18))+(AI21))+(AI22))+(AI26))+(AI27))+(AI28)</f>
        <v>0</v>
      </c>
      <c r="AJ29" s="513">
        <f t="shared" si="16"/>
        <v>0</v>
      </c>
      <c r="AK29" s="514" t="str">
        <f t="shared" si="17"/>
        <v/>
      </c>
      <c r="AL29" s="513">
        <f>((((((((((((AL8)+(AL12))+(AL13))+(AL14))+(AL15))+(AL16))+(AL17))+(AL18))+(AL21))+(AL22))+(AL26))+(AL27))+(AL28)</f>
        <v>0</v>
      </c>
      <c r="AM29" s="513">
        <f>((((((((((((AM8)+(AM12))+(AM13))+(AM14))+(AM15))+(AM16))+(AM17))+(AM18))+(AM21))+(AM22))+(AM26))+(AM27))+(AM28)</f>
        <v>0</v>
      </c>
      <c r="AN29" s="513">
        <f t="shared" si="18"/>
        <v>0</v>
      </c>
      <c r="AO29" s="514" t="str">
        <f t="shared" si="19"/>
        <v/>
      </c>
      <c r="AP29" s="513">
        <f>((((((((((((AP8)+(AP12))+(AP13))+(AP14))+(AP15))+(AP16))+(AP17))+(AP18))+(AP21))+(AP22))+(AP26))+(AP27))+(AP28)</f>
        <v>0</v>
      </c>
      <c r="AQ29" s="513">
        <f>((((((((((((AQ8)+(AQ12))+(AQ13))+(AQ14))+(AQ15))+(AQ16))+(AQ17))+(AQ18))+(AQ21))+(AQ22))+(AQ26))+(AQ27))+(AQ28)</f>
        <v>0</v>
      </c>
      <c r="AR29" s="513">
        <f t="shared" si="20"/>
        <v>0</v>
      </c>
      <c r="AS29" s="514" t="str">
        <f t="shared" si="21"/>
        <v/>
      </c>
      <c r="AT29" s="513">
        <f>((((((((((((AT8)+(AT12))+(AT13))+(AT14))+(AT15))+(AT16))+(AT17))+(AT18))+(AT21))+(AT22))+(AT26))+(AT27))+(AT28)</f>
        <v>0</v>
      </c>
      <c r="AU29" s="513">
        <f>((((((((((((AU8)+(AU12))+(AU13))+(AU14))+(AU15))+(AU16))+(AU17))+(AU18))+(AU21))+(AU22))+(AU26))+(AU27))+(AU28)</f>
        <v>0</v>
      </c>
      <c r="AV29" s="513">
        <f t="shared" si="22"/>
        <v>0</v>
      </c>
      <c r="AW29" s="514" t="str">
        <f t="shared" si="23"/>
        <v/>
      </c>
      <c r="AX29" s="513">
        <f t="shared" si="24"/>
        <v>180750</v>
      </c>
      <c r="AY29" s="513">
        <f t="shared" si="24"/>
        <v>200000</v>
      </c>
      <c r="AZ29" s="513">
        <f t="shared" si="25"/>
        <v>-19250</v>
      </c>
      <c r="BA29" s="514">
        <f t="shared" si="26"/>
        <v>0.90375000000000005</v>
      </c>
      <c r="BB29" s="513">
        <f>((((((((((((BB8)+(BB12))+(BB13))+(BB14))+(BB15))+(BB16))+(BB17))+(BB18))+(BB21))+(BB22))+(BB26))+(BB27))+(BB28)</f>
        <v>108250</v>
      </c>
      <c r="BC29" s="513">
        <f>((((((((((((BC8)+(BC12))+(BC13))+(BC14))+(BC15))+(BC16))+(BC17))+(BC18))+(BC21))+(BC22))+(BC26))+(BC27))+(BC28)</f>
        <v>125000</v>
      </c>
      <c r="BD29" s="513">
        <f t="shared" si="27"/>
        <v>-16750</v>
      </c>
      <c r="BE29" s="514">
        <f t="shared" si="28"/>
        <v>0.86599999999999999</v>
      </c>
      <c r="BF29" s="513">
        <f>((((((((((((BF8)+(BF12))+(BF13))+(BF14))+(BF15))+(BF16))+(BF17))+(BF18))+(BF21))+(BF22))+(BF26))+(BF27))+(BF28)</f>
        <v>0</v>
      </c>
      <c r="BG29" s="513">
        <f>((((((((((((BG8)+(BG12))+(BG13))+(BG14))+(BG15))+(BG16))+(BG17))+(BG18))+(BG21))+(BG22))+(BG26))+(BG27))+(BG28)</f>
        <v>0</v>
      </c>
      <c r="BH29" s="513">
        <f t="shared" si="29"/>
        <v>0</v>
      </c>
      <c r="BI29" s="514" t="str">
        <f t="shared" si="30"/>
        <v/>
      </c>
      <c r="BJ29" s="513">
        <f>((((((((((((BJ8)+(BJ12))+(BJ13))+(BJ14))+(BJ15))+(BJ16))+(BJ17))+(BJ18))+(BJ21))+(BJ22))+(BJ26))+(BJ27))+(BJ28)</f>
        <v>0</v>
      </c>
      <c r="BK29" s="513">
        <f>((((((((((((BK8)+(BK12))+(BK13))+(BK14))+(BK15))+(BK16))+(BK17))+(BK18))+(BK21))+(BK22))+(BK26))+(BK27))+(BK28)</f>
        <v>0</v>
      </c>
      <c r="BL29" s="513">
        <f t="shared" si="31"/>
        <v>0</v>
      </c>
      <c r="BM29" s="514" t="str">
        <f t="shared" si="32"/>
        <v/>
      </c>
      <c r="BN29" s="513">
        <f>((((((((((((BN8)+(BN12))+(BN13))+(BN14))+(BN15))+(BN16))+(BN17))+(BN18))+(BN21))+(BN22))+(BN26))+(BN27))+(BN28)</f>
        <v>0</v>
      </c>
      <c r="BO29" s="513">
        <f>((((((((((((BO8)+(BO12))+(BO13))+(BO14))+(BO15))+(BO16))+(BO17))+(BO18))+(BO21))+(BO22))+(BO26))+(BO27))+(BO28)</f>
        <v>0</v>
      </c>
      <c r="BP29" s="513">
        <f t="shared" si="33"/>
        <v>0</v>
      </c>
      <c r="BQ29" s="514" t="str">
        <f t="shared" si="34"/>
        <v/>
      </c>
      <c r="BR29" s="513">
        <f t="shared" si="35"/>
        <v>108250</v>
      </c>
      <c r="BS29" s="513">
        <f t="shared" si="35"/>
        <v>125000</v>
      </c>
      <c r="BT29" s="513">
        <f t="shared" si="36"/>
        <v>-16750</v>
      </c>
      <c r="BU29" s="514">
        <f t="shared" si="37"/>
        <v>0.86599999999999999</v>
      </c>
      <c r="BV29" s="513">
        <f>((((((((((((BV8)+(BV12))+(BV13))+(BV14))+(BV15))+(BV16))+(BV17))+(BV18))+(BV21))+(BV22))+(BV26))+(BV27))+(BV28)</f>
        <v>63523.65</v>
      </c>
      <c r="BW29" s="513">
        <f>((((((((((((BW8)+(BW12))+(BW13))+(BW14))+(BW15))+(BW16))+(BW17))+(BW18))+(BW21))+(BW22))+(BW26))+(BW27))+(BW28)</f>
        <v>70088.63</v>
      </c>
      <c r="BX29" s="513">
        <f t="shared" si="38"/>
        <v>-6564.9800000000032</v>
      </c>
      <c r="BY29" s="514">
        <f t="shared" si="39"/>
        <v>0.90633316702010003</v>
      </c>
      <c r="BZ29" s="513">
        <f>((((((((((((BZ8)+(BZ12))+(BZ13))+(BZ14))+(BZ15))+(BZ16))+(BZ17))+(BZ18))+(BZ21))+(BZ22))+(BZ26))+(BZ27))+(BZ28)</f>
        <v>69300</v>
      </c>
      <c r="CA29" s="513">
        <f>((((((((((((CA8)+(CA12))+(CA13))+(CA14))+(CA15))+(CA16))+(CA17))+(CA18))+(CA21))+(CA22))+(CA26))+(CA27))+(CA28)</f>
        <v>69300</v>
      </c>
      <c r="CB29" s="513">
        <f t="shared" si="40"/>
        <v>0</v>
      </c>
      <c r="CC29" s="514">
        <f t="shared" si="41"/>
        <v>1</v>
      </c>
      <c r="CD29" s="513">
        <f>((((((((((((CD8)+(CD12))+(CD13))+(CD14))+(CD15))+(CD16))+(CD17))+(CD18))+(CD21))+(CD22))+(CD26))+(CD27))+(CD28)</f>
        <v>1950.66</v>
      </c>
      <c r="CE29" s="513">
        <f>((((((((((((CE8)+(CE12))+(CE13))+(CE14))+(CE15))+(CE16))+(CE17))+(CE18))+(CE21))+(CE22))+(CE26))+(CE27))+(CE28)</f>
        <v>0</v>
      </c>
      <c r="CF29" s="513">
        <f t="shared" si="42"/>
        <v>1950.66</v>
      </c>
      <c r="CG29" s="514" t="str">
        <f t="shared" si="43"/>
        <v/>
      </c>
      <c r="CH29" s="513">
        <f>((((((((((((CH8)+(CH12))+(CH13))+(CH14))+(CH15))+(CH16))+(CH17))+(CH18))+(CH21))+(CH22))+(CH26))+(CH27))+(CH28)</f>
        <v>3786.01</v>
      </c>
      <c r="CI29" s="513">
        <f>((((((((((((CI8)+(CI12))+(CI13))+(CI14))+(CI15))+(CI16))+(CI17))+(CI18))+(CI21))+(CI22))+(CI26))+(CI27))+(CI28)</f>
        <v>0</v>
      </c>
      <c r="CJ29" s="513">
        <f t="shared" si="44"/>
        <v>3786.01</v>
      </c>
      <c r="CK29" s="514" t="str">
        <f t="shared" si="45"/>
        <v/>
      </c>
      <c r="CL29" s="513">
        <f t="shared" si="46"/>
        <v>5736.67</v>
      </c>
      <c r="CM29" s="513">
        <f t="shared" si="46"/>
        <v>0</v>
      </c>
      <c r="CN29" s="513">
        <f t="shared" si="47"/>
        <v>5736.67</v>
      </c>
      <c r="CO29" s="514" t="str">
        <f t="shared" si="48"/>
        <v/>
      </c>
      <c r="CP29" s="513">
        <f>((((((((((((CP8)+(CP12))+(CP13))+(CP14))+(CP15))+(CP16))+(CP17))+(CP18))+(CP21))+(CP22))+(CP26))+(CP27))+(CP28)</f>
        <v>14250.41</v>
      </c>
      <c r="CQ29" s="513">
        <f>((((((((((((CQ8)+(CQ12))+(CQ13))+(CQ14))+(CQ15))+(CQ16))+(CQ17))+(CQ18))+(CQ21))+(CQ22))+(CQ26))+(CQ27))+(CQ28)</f>
        <v>0</v>
      </c>
      <c r="CR29" s="513">
        <f t="shared" si="49"/>
        <v>14250.41</v>
      </c>
      <c r="CS29" s="514" t="str">
        <f t="shared" si="50"/>
        <v/>
      </c>
      <c r="CT29" s="513">
        <f>((((((((((((CT8)+(CT12))+(CT13))+(CT14))+(CT15))+(CT16))+(CT17))+(CT18))+(CT21))+(CT22))+(CT26))+(CT27))+(CT28)</f>
        <v>39781.440000000002</v>
      </c>
      <c r="CU29" s="513">
        <f>((((((((((((CU8)+(CU12))+(CU13))+(CU14))+(CU15))+(CU16))+(CU17))+(CU18))+(CU21))+(CU22))+(CU26))+(CU27))+(CU28)</f>
        <v>40000</v>
      </c>
      <c r="CV29" s="513">
        <f t="shared" si="51"/>
        <v>-218.55999999999767</v>
      </c>
      <c r="CW29" s="514">
        <f t="shared" si="52"/>
        <v>0.99453600000000009</v>
      </c>
      <c r="CX29" s="513">
        <f t="shared" si="53"/>
        <v>54031.850000000006</v>
      </c>
      <c r="CY29" s="513">
        <f t="shared" si="53"/>
        <v>40000</v>
      </c>
      <c r="CZ29" s="513">
        <f t="shared" si="54"/>
        <v>14031.850000000006</v>
      </c>
      <c r="DA29" s="514">
        <f t="shared" si="55"/>
        <v>1.3507962500000001</v>
      </c>
      <c r="DB29" s="513">
        <f>((((((((((((DB8)+(DB12))+(DB13))+(DB14))+(DB15))+(DB16))+(DB17))+(DB18))+(DB21))+(DB22))+(DB26))+(DB27))+(DB28)</f>
        <v>19195.920000000002</v>
      </c>
      <c r="DC29" s="513">
        <f>((((((((((((DC8)+(DC12))+(DC13))+(DC14))+(DC15))+(DC16))+(DC17))+(DC18))+(DC21))+(DC22))+(DC26))+(DC27))+(DC28)</f>
        <v>0</v>
      </c>
      <c r="DD29" s="513">
        <f t="shared" si="56"/>
        <v>19195.920000000002</v>
      </c>
      <c r="DE29" s="514" t="str">
        <f t="shared" si="57"/>
        <v/>
      </c>
      <c r="DF29" s="513">
        <f>((((((((((((DF8)+(DF12))+(DF13))+(DF14))+(DF15))+(DF16))+(DF17))+(DF18))+(DF21))+(DF22))+(DF26))+(DF27))+(DF28)</f>
        <v>0</v>
      </c>
      <c r="DG29" s="513">
        <f>((((((((((((DG8)+(DG12))+(DG13))+(DG14))+(DG15))+(DG16))+(DG17))+(DG18))+(DG21))+(DG22))+(DG26))+(DG27))+(DG28)</f>
        <v>0</v>
      </c>
      <c r="DH29" s="513">
        <f t="shared" si="58"/>
        <v>0</v>
      </c>
      <c r="DI29" s="514" t="str">
        <f t="shared" si="59"/>
        <v/>
      </c>
      <c r="DJ29" s="513">
        <f t="shared" si="60"/>
        <v>19195.920000000002</v>
      </c>
      <c r="DK29" s="513">
        <f t="shared" si="60"/>
        <v>0</v>
      </c>
      <c r="DL29" s="513">
        <f t="shared" si="61"/>
        <v>19195.920000000002</v>
      </c>
      <c r="DM29" s="514" t="str">
        <f t="shared" si="62"/>
        <v/>
      </c>
      <c r="DN29" s="513">
        <f>((((((((((((DN8)+(DN12))+(DN13))+(DN14))+(DN15))+(DN16))+(DN17))+(DN18))+(DN21))+(DN22))+(DN26))+(DN27))+(DN28)</f>
        <v>0</v>
      </c>
      <c r="DO29" s="513">
        <f>((((((((((((DO8)+(DO12))+(DO13))+(DO14))+(DO15))+(DO16))+(DO17))+(DO18))+(DO21))+(DO22))+(DO26))+(DO27))+(DO28)</f>
        <v>0</v>
      </c>
      <c r="DP29" s="513">
        <f t="shared" si="63"/>
        <v>0</v>
      </c>
      <c r="DQ29" s="514" t="str">
        <f t="shared" si="64"/>
        <v/>
      </c>
      <c r="DR29" s="513">
        <f t="shared" si="65"/>
        <v>1093514.27</v>
      </c>
      <c r="DS29" s="513">
        <f t="shared" si="66"/>
        <v>1025253.13</v>
      </c>
      <c r="DT29" s="513">
        <f t="shared" si="67"/>
        <v>68261.140000000014</v>
      </c>
      <c r="DU29" s="514">
        <f t="shared" si="68"/>
        <v>1.0665797918607671</v>
      </c>
    </row>
    <row r="30" spans="1:125" x14ac:dyDescent="0.25">
      <c r="A30" s="2" t="s">
        <v>39</v>
      </c>
      <c r="B30" s="513">
        <f>(B29)-(0)</f>
        <v>83400.159999999989</v>
      </c>
      <c r="C30" s="513">
        <f>(C29)-(0)</f>
        <v>143200.5</v>
      </c>
      <c r="D30" s="513">
        <f t="shared" si="0"/>
        <v>-59800.340000000011</v>
      </c>
      <c r="E30" s="514">
        <f t="shared" si="1"/>
        <v>0.58240131843115062</v>
      </c>
      <c r="F30" s="513">
        <f>(F29)-(0)</f>
        <v>296679</v>
      </c>
      <c r="G30" s="513">
        <f>(G29)-(0)</f>
        <v>251914</v>
      </c>
      <c r="H30" s="513">
        <f t="shared" si="2"/>
        <v>44765</v>
      </c>
      <c r="I30" s="514">
        <f t="shared" si="3"/>
        <v>1.1776995323800981</v>
      </c>
      <c r="J30" s="513">
        <f>(J29)-(0)</f>
        <v>111736.26</v>
      </c>
      <c r="K30" s="513">
        <f>(K29)-(0)</f>
        <v>125750</v>
      </c>
      <c r="L30" s="513">
        <f t="shared" si="4"/>
        <v>-14013.740000000005</v>
      </c>
      <c r="M30" s="514">
        <f t="shared" si="5"/>
        <v>0.88855872763419474</v>
      </c>
      <c r="N30" s="513">
        <f>(N29)-(0)</f>
        <v>100910.76</v>
      </c>
      <c r="O30" s="513">
        <f>(O29)-(0)</f>
        <v>0</v>
      </c>
      <c r="P30" s="513">
        <f t="shared" si="6"/>
        <v>100910.76</v>
      </c>
      <c r="Q30" s="514" t="str">
        <f t="shared" si="7"/>
        <v/>
      </c>
      <c r="R30" s="513">
        <f>(R29)-(0)</f>
        <v>0</v>
      </c>
      <c r="S30" s="513">
        <f>(S29)-(0)</f>
        <v>0</v>
      </c>
      <c r="T30" s="513">
        <f t="shared" si="8"/>
        <v>0</v>
      </c>
      <c r="U30" s="514" t="str">
        <f t="shared" si="9"/>
        <v/>
      </c>
      <c r="V30" s="513">
        <f>(V29)-(0)</f>
        <v>180750</v>
      </c>
      <c r="W30" s="513">
        <f>(W29)-(0)</f>
        <v>200000</v>
      </c>
      <c r="X30" s="513">
        <f t="shared" si="10"/>
        <v>-19250</v>
      </c>
      <c r="Y30" s="514">
        <f t="shared" si="11"/>
        <v>0.90375000000000005</v>
      </c>
      <c r="Z30" s="513">
        <f>(Z29)-(0)</f>
        <v>0</v>
      </c>
      <c r="AA30" s="513">
        <f>(AA29)-(0)</f>
        <v>0</v>
      </c>
      <c r="AB30" s="513">
        <f t="shared" si="12"/>
        <v>0</v>
      </c>
      <c r="AC30" s="514" t="str">
        <f t="shared" si="13"/>
        <v/>
      </c>
      <c r="AD30" s="513">
        <f>(AD29)-(0)</f>
        <v>0</v>
      </c>
      <c r="AE30" s="513">
        <f>(AE29)-(0)</f>
        <v>0</v>
      </c>
      <c r="AF30" s="513">
        <f t="shared" si="14"/>
        <v>0</v>
      </c>
      <c r="AG30" s="514" t="str">
        <f t="shared" si="15"/>
        <v/>
      </c>
      <c r="AH30" s="513">
        <f>(AH29)-(0)</f>
        <v>0</v>
      </c>
      <c r="AI30" s="513">
        <f>(AI29)-(0)</f>
        <v>0</v>
      </c>
      <c r="AJ30" s="513">
        <f t="shared" si="16"/>
        <v>0</v>
      </c>
      <c r="AK30" s="514" t="str">
        <f t="shared" si="17"/>
        <v/>
      </c>
      <c r="AL30" s="513">
        <f>(AL29)-(0)</f>
        <v>0</v>
      </c>
      <c r="AM30" s="513">
        <f>(AM29)-(0)</f>
        <v>0</v>
      </c>
      <c r="AN30" s="513">
        <f t="shared" si="18"/>
        <v>0</v>
      </c>
      <c r="AO30" s="514" t="str">
        <f t="shared" si="19"/>
        <v/>
      </c>
      <c r="AP30" s="513">
        <f>(AP29)-(0)</f>
        <v>0</v>
      </c>
      <c r="AQ30" s="513">
        <f>(AQ29)-(0)</f>
        <v>0</v>
      </c>
      <c r="AR30" s="513">
        <f t="shared" si="20"/>
        <v>0</v>
      </c>
      <c r="AS30" s="514" t="str">
        <f t="shared" si="21"/>
        <v/>
      </c>
      <c r="AT30" s="513">
        <f>(AT29)-(0)</f>
        <v>0</v>
      </c>
      <c r="AU30" s="513">
        <f>(AU29)-(0)</f>
        <v>0</v>
      </c>
      <c r="AV30" s="513">
        <f t="shared" si="22"/>
        <v>0</v>
      </c>
      <c r="AW30" s="514" t="str">
        <f t="shared" si="23"/>
        <v/>
      </c>
      <c r="AX30" s="513">
        <f t="shared" si="24"/>
        <v>180750</v>
      </c>
      <c r="AY30" s="513">
        <f t="shared" si="24"/>
        <v>200000</v>
      </c>
      <c r="AZ30" s="513">
        <f t="shared" si="25"/>
        <v>-19250</v>
      </c>
      <c r="BA30" s="514">
        <f t="shared" si="26"/>
        <v>0.90375000000000005</v>
      </c>
      <c r="BB30" s="513">
        <f>(BB29)-(0)</f>
        <v>108250</v>
      </c>
      <c r="BC30" s="513">
        <f>(BC29)-(0)</f>
        <v>125000</v>
      </c>
      <c r="BD30" s="513">
        <f t="shared" si="27"/>
        <v>-16750</v>
      </c>
      <c r="BE30" s="514">
        <f t="shared" si="28"/>
        <v>0.86599999999999999</v>
      </c>
      <c r="BF30" s="513">
        <f>(BF29)-(0)</f>
        <v>0</v>
      </c>
      <c r="BG30" s="513">
        <f>(BG29)-(0)</f>
        <v>0</v>
      </c>
      <c r="BH30" s="513">
        <f t="shared" si="29"/>
        <v>0</v>
      </c>
      <c r="BI30" s="514" t="str">
        <f t="shared" si="30"/>
        <v/>
      </c>
      <c r="BJ30" s="513">
        <f>(BJ29)-(0)</f>
        <v>0</v>
      </c>
      <c r="BK30" s="513">
        <f>(BK29)-(0)</f>
        <v>0</v>
      </c>
      <c r="BL30" s="513">
        <f t="shared" si="31"/>
        <v>0</v>
      </c>
      <c r="BM30" s="514" t="str">
        <f t="shared" si="32"/>
        <v/>
      </c>
      <c r="BN30" s="513">
        <f>(BN29)-(0)</f>
        <v>0</v>
      </c>
      <c r="BO30" s="513">
        <f>(BO29)-(0)</f>
        <v>0</v>
      </c>
      <c r="BP30" s="513">
        <f t="shared" si="33"/>
        <v>0</v>
      </c>
      <c r="BQ30" s="514" t="str">
        <f t="shared" si="34"/>
        <v/>
      </c>
      <c r="BR30" s="513">
        <f t="shared" si="35"/>
        <v>108250</v>
      </c>
      <c r="BS30" s="513">
        <f t="shared" si="35"/>
        <v>125000</v>
      </c>
      <c r="BT30" s="513">
        <f t="shared" si="36"/>
        <v>-16750</v>
      </c>
      <c r="BU30" s="514">
        <f t="shared" si="37"/>
        <v>0.86599999999999999</v>
      </c>
      <c r="BV30" s="513">
        <f>(BV29)-(0)</f>
        <v>63523.65</v>
      </c>
      <c r="BW30" s="513">
        <f>(BW29)-(0)</f>
        <v>70088.63</v>
      </c>
      <c r="BX30" s="513">
        <f t="shared" si="38"/>
        <v>-6564.9800000000032</v>
      </c>
      <c r="BY30" s="514">
        <f t="shared" si="39"/>
        <v>0.90633316702010003</v>
      </c>
      <c r="BZ30" s="513">
        <f>(BZ29)-(0)</f>
        <v>69300</v>
      </c>
      <c r="CA30" s="513">
        <f>(CA29)-(0)</f>
        <v>69300</v>
      </c>
      <c r="CB30" s="513">
        <f t="shared" si="40"/>
        <v>0</v>
      </c>
      <c r="CC30" s="514">
        <f t="shared" si="41"/>
        <v>1</v>
      </c>
      <c r="CD30" s="513">
        <f>(CD29)-(0)</f>
        <v>1950.66</v>
      </c>
      <c r="CE30" s="513">
        <f>(CE29)-(0)</f>
        <v>0</v>
      </c>
      <c r="CF30" s="513">
        <f t="shared" si="42"/>
        <v>1950.66</v>
      </c>
      <c r="CG30" s="514" t="str">
        <f t="shared" si="43"/>
        <v/>
      </c>
      <c r="CH30" s="513">
        <f>(CH29)-(0)</f>
        <v>3786.01</v>
      </c>
      <c r="CI30" s="513">
        <f>(CI29)-(0)</f>
        <v>0</v>
      </c>
      <c r="CJ30" s="513">
        <f t="shared" si="44"/>
        <v>3786.01</v>
      </c>
      <c r="CK30" s="514" t="str">
        <f t="shared" si="45"/>
        <v/>
      </c>
      <c r="CL30" s="513">
        <f t="shared" si="46"/>
        <v>5736.67</v>
      </c>
      <c r="CM30" s="513">
        <f t="shared" si="46"/>
        <v>0</v>
      </c>
      <c r="CN30" s="513">
        <f t="shared" si="47"/>
        <v>5736.67</v>
      </c>
      <c r="CO30" s="514" t="str">
        <f t="shared" si="48"/>
        <v/>
      </c>
      <c r="CP30" s="513">
        <f>(CP29)-(0)</f>
        <v>14250.41</v>
      </c>
      <c r="CQ30" s="513">
        <f>(CQ29)-(0)</f>
        <v>0</v>
      </c>
      <c r="CR30" s="513">
        <f t="shared" si="49"/>
        <v>14250.41</v>
      </c>
      <c r="CS30" s="514" t="str">
        <f t="shared" si="50"/>
        <v/>
      </c>
      <c r="CT30" s="513">
        <f>(CT29)-(0)</f>
        <v>39781.440000000002</v>
      </c>
      <c r="CU30" s="513">
        <f>(CU29)-(0)</f>
        <v>40000</v>
      </c>
      <c r="CV30" s="513">
        <f t="shared" si="51"/>
        <v>-218.55999999999767</v>
      </c>
      <c r="CW30" s="514">
        <f t="shared" si="52"/>
        <v>0.99453600000000009</v>
      </c>
      <c r="CX30" s="513">
        <f t="shared" si="53"/>
        <v>54031.850000000006</v>
      </c>
      <c r="CY30" s="513">
        <f t="shared" si="53"/>
        <v>40000</v>
      </c>
      <c r="CZ30" s="513">
        <f t="shared" si="54"/>
        <v>14031.850000000006</v>
      </c>
      <c r="DA30" s="514">
        <f t="shared" si="55"/>
        <v>1.3507962500000001</v>
      </c>
      <c r="DB30" s="513">
        <f>(DB29)-(0)</f>
        <v>19195.920000000002</v>
      </c>
      <c r="DC30" s="513">
        <f>(DC29)-(0)</f>
        <v>0</v>
      </c>
      <c r="DD30" s="513">
        <f t="shared" si="56"/>
        <v>19195.920000000002</v>
      </c>
      <c r="DE30" s="514" t="str">
        <f t="shared" si="57"/>
        <v/>
      </c>
      <c r="DF30" s="513">
        <f>(DF29)-(0)</f>
        <v>0</v>
      </c>
      <c r="DG30" s="513">
        <f>(DG29)-(0)</f>
        <v>0</v>
      </c>
      <c r="DH30" s="513">
        <f t="shared" si="58"/>
        <v>0</v>
      </c>
      <c r="DI30" s="514" t="str">
        <f t="shared" si="59"/>
        <v/>
      </c>
      <c r="DJ30" s="513">
        <f t="shared" si="60"/>
        <v>19195.920000000002</v>
      </c>
      <c r="DK30" s="513">
        <f t="shared" si="60"/>
        <v>0</v>
      </c>
      <c r="DL30" s="513">
        <f t="shared" si="61"/>
        <v>19195.920000000002</v>
      </c>
      <c r="DM30" s="514" t="str">
        <f t="shared" si="62"/>
        <v/>
      </c>
      <c r="DN30" s="513">
        <f>(DN29)-(0)</f>
        <v>0</v>
      </c>
      <c r="DO30" s="513">
        <f>(DO29)-(0)</f>
        <v>0</v>
      </c>
      <c r="DP30" s="513">
        <f t="shared" si="63"/>
        <v>0</v>
      </c>
      <c r="DQ30" s="514" t="str">
        <f t="shared" si="64"/>
        <v/>
      </c>
      <c r="DR30" s="513">
        <f t="shared" si="65"/>
        <v>1093514.27</v>
      </c>
      <c r="DS30" s="513">
        <f t="shared" si="66"/>
        <v>1025253.13</v>
      </c>
      <c r="DT30" s="513">
        <f t="shared" si="67"/>
        <v>68261.140000000014</v>
      </c>
      <c r="DU30" s="514">
        <f t="shared" si="68"/>
        <v>1.0665797918607671</v>
      </c>
    </row>
    <row r="31" spans="1:125" x14ac:dyDescent="0.25">
      <c r="A31" s="2" t="s">
        <v>40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</row>
    <row r="32" spans="1:125" x14ac:dyDescent="0.25">
      <c r="A32" s="2" t="s">
        <v>41</v>
      </c>
      <c r="B32" s="511">
        <f>22</f>
        <v>22</v>
      </c>
      <c r="C32" s="3"/>
      <c r="D32" s="511">
        <f t="shared" ref="D32:D95" si="69">(B32)-(C32)</f>
        <v>22</v>
      </c>
      <c r="E32" s="512" t="str">
        <f t="shared" ref="E32:E95" si="70">IF(C32=0,"",(B32)/(C32))</f>
        <v/>
      </c>
      <c r="F32" s="3"/>
      <c r="G32" s="3"/>
      <c r="H32" s="511">
        <f t="shared" ref="H32:H95" si="71">(F32)-(G32)</f>
        <v>0</v>
      </c>
      <c r="I32" s="512" t="str">
        <f t="shared" ref="I32:I95" si="72">IF(G32=0,"",(F32)/(G32))</f>
        <v/>
      </c>
      <c r="J32" s="3"/>
      <c r="K32" s="3"/>
      <c r="L32" s="511">
        <f t="shared" ref="L32:L95" si="73">(J32)-(K32)</f>
        <v>0</v>
      </c>
      <c r="M32" s="512" t="str">
        <f t="shared" ref="M32:M95" si="74">IF(K32=0,"",(J32)/(K32))</f>
        <v/>
      </c>
      <c r="N32" s="3"/>
      <c r="O32" s="3"/>
      <c r="P32" s="511">
        <f t="shared" ref="P32:P95" si="75">(N32)-(O32)</f>
        <v>0</v>
      </c>
      <c r="Q32" s="512" t="str">
        <f t="shared" ref="Q32:Q95" si="76">IF(O32=0,"",(N32)/(O32))</f>
        <v/>
      </c>
      <c r="R32" s="3"/>
      <c r="S32" s="3"/>
      <c r="T32" s="511">
        <f t="shared" ref="T32:T95" si="77">(R32)-(S32)</f>
        <v>0</v>
      </c>
      <c r="U32" s="512" t="str">
        <f t="shared" ref="U32:U95" si="78">IF(S32=0,"",(R32)/(S32))</f>
        <v/>
      </c>
      <c r="V32" s="3"/>
      <c r="W32" s="511">
        <f>2160</f>
        <v>2160</v>
      </c>
      <c r="X32" s="511">
        <f t="shared" ref="X32:X95" si="79">(V32)-(W32)</f>
        <v>-2160</v>
      </c>
      <c r="Y32" s="512">
        <f t="shared" ref="Y32:Y95" si="80">IF(W32=0,"",(V32)/(W32))</f>
        <v>0</v>
      </c>
      <c r="Z32" s="3"/>
      <c r="AA32" s="3"/>
      <c r="AB32" s="511">
        <f t="shared" ref="AB32:AB95" si="81">(Z32)-(AA32)</f>
        <v>0</v>
      </c>
      <c r="AC32" s="512" t="str">
        <f t="shared" ref="AC32:AC95" si="82">IF(AA32=0,"",(Z32)/(AA32))</f>
        <v/>
      </c>
      <c r="AD32" s="3"/>
      <c r="AE32" s="3"/>
      <c r="AF32" s="511">
        <f t="shared" ref="AF32:AF95" si="83">(AD32)-(AE32)</f>
        <v>0</v>
      </c>
      <c r="AG32" s="512" t="str">
        <f t="shared" ref="AG32:AG95" si="84">IF(AE32=0,"",(AD32)/(AE32))</f>
        <v/>
      </c>
      <c r="AH32" s="3"/>
      <c r="AI32" s="3"/>
      <c r="AJ32" s="511">
        <f t="shared" ref="AJ32:AJ95" si="85">(AH32)-(AI32)</f>
        <v>0</v>
      </c>
      <c r="AK32" s="512" t="str">
        <f t="shared" ref="AK32:AK95" si="86">IF(AI32=0,"",(AH32)/(AI32))</f>
        <v/>
      </c>
      <c r="AL32" s="3"/>
      <c r="AM32" s="3"/>
      <c r="AN32" s="511">
        <f t="shared" ref="AN32:AN95" si="87">(AL32)-(AM32)</f>
        <v>0</v>
      </c>
      <c r="AO32" s="512" t="str">
        <f t="shared" ref="AO32:AO95" si="88">IF(AM32=0,"",(AL32)/(AM32))</f>
        <v/>
      </c>
      <c r="AP32" s="3"/>
      <c r="AQ32" s="3"/>
      <c r="AR32" s="511">
        <f t="shared" ref="AR32:AR95" si="89">(AP32)-(AQ32)</f>
        <v>0</v>
      </c>
      <c r="AS32" s="512" t="str">
        <f t="shared" ref="AS32:AS95" si="90">IF(AQ32=0,"",(AP32)/(AQ32))</f>
        <v/>
      </c>
      <c r="AT32" s="3"/>
      <c r="AU32" s="3"/>
      <c r="AV32" s="511">
        <f t="shared" ref="AV32:AV95" si="91">(AT32)-(AU32)</f>
        <v>0</v>
      </c>
      <c r="AW32" s="512" t="str">
        <f t="shared" ref="AW32:AW95" si="92">IF(AU32=0,"",(AT32)/(AU32))</f>
        <v/>
      </c>
      <c r="AX32" s="511">
        <f t="shared" ref="AX32:AY63" si="93">((((((V32)+(Z32))+(AD32))+(AH32))+(AL32))+(AP32))+(AT32)</f>
        <v>0</v>
      </c>
      <c r="AY32" s="511">
        <f t="shared" si="93"/>
        <v>2160</v>
      </c>
      <c r="AZ32" s="511">
        <f t="shared" ref="AZ32:AZ95" si="94">(AX32)-(AY32)</f>
        <v>-2160</v>
      </c>
      <c r="BA32" s="512">
        <f t="shared" ref="BA32:BA95" si="95">IF(AY32=0,"",(AX32)/(AY32))</f>
        <v>0</v>
      </c>
      <c r="BB32" s="3"/>
      <c r="BC32" s="3"/>
      <c r="BD32" s="511">
        <f t="shared" ref="BD32:BD95" si="96">(BB32)-(BC32)</f>
        <v>0</v>
      </c>
      <c r="BE32" s="512" t="str">
        <f t="shared" ref="BE32:BE95" si="97">IF(BC32=0,"",(BB32)/(BC32))</f>
        <v/>
      </c>
      <c r="BF32" s="3"/>
      <c r="BG32" s="3"/>
      <c r="BH32" s="511">
        <f t="shared" ref="BH32:BH95" si="98">(BF32)-(BG32)</f>
        <v>0</v>
      </c>
      <c r="BI32" s="512" t="str">
        <f t="shared" ref="BI32:BI95" si="99">IF(BG32=0,"",(BF32)/(BG32))</f>
        <v/>
      </c>
      <c r="BJ32" s="3"/>
      <c r="BK32" s="3"/>
      <c r="BL32" s="511">
        <f t="shared" ref="BL32:BL95" si="100">(BJ32)-(BK32)</f>
        <v>0</v>
      </c>
      <c r="BM32" s="512" t="str">
        <f t="shared" ref="BM32:BM95" si="101">IF(BK32=0,"",(BJ32)/(BK32))</f>
        <v/>
      </c>
      <c r="BN32" s="3"/>
      <c r="BO32" s="3"/>
      <c r="BP32" s="511">
        <f t="shared" ref="BP32:BP95" si="102">(BN32)-(BO32)</f>
        <v>0</v>
      </c>
      <c r="BQ32" s="512" t="str">
        <f t="shared" ref="BQ32:BQ95" si="103">IF(BO32=0,"",(BN32)/(BO32))</f>
        <v/>
      </c>
      <c r="BR32" s="511">
        <f t="shared" ref="BR32:BS63" si="104">(((BB32)+(BF32))+(BJ32))+(BN32)</f>
        <v>0</v>
      </c>
      <c r="BS32" s="511">
        <f t="shared" si="104"/>
        <v>0</v>
      </c>
      <c r="BT32" s="511">
        <f t="shared" ref="BT32:BT95" si="105">(BR32)-(BS32)</f>
        <v>0</v>
      </c>
      <c r="BU32" s="512" t="str">
        <f t="shared" ref="BU32:BU95" si="106">IF(BS32=0,"",(BR32)/(BS32))</f>
        <v/>
      </c>
      <c r="BV32" s="3"/>
      <c r="BW32" s="511">
        <f>14523.14</f>
        <v>14523.14</v>
      </c>
      <c r="BX32" s="511">
        <f t="shared" ref="BX32:BX95" si="107">(BV32)-(BW32)</f>
        <v>-14523.14</v>
      </c>
      <c r="BY32" s="512">
        <f t="shared" ref="BY32:BY95" si="108">IF(BW32=0,"",(BV32)/(BW32))</f>
        <v>0</v>
      </c>
      <c r="BZ32" s="3"/>
      <c r="CA32" s="511">
        <f>2945</f>
        <v>2945</v>
      </c>
      <c r="CB32" s="511">
        <f t="shared" ref="CB32:CB95" si="109">(BZ32)-(CA32)</f>
        <v>-2945</v>
      </c>
      <c r="CC32" s="512">
        <f t="shared" ref="CC32:CC95" si="110">IF(CA32=0,"",(BZ32)/(CA32))</f>
        <v>0</v>
      </c>
      <c r="CD32" s="3"/>
      <c r="CE32" s="3"/>
      <c r="CF32" s="511">
        <f t="shared" ref="CF32:CF95" si="111">(CD32)-(CE32)</f>
        <v>0</v>
      </c>
      <c r="CG32" s="512" t="str">
        <f t="shared" ref="CG32:CG95" si="112">IF(CE32=0,"",(CD32)/(CE32))</f>
        <v/>
      </c>
      <c r="CH32" s="3"/>
      <c r="CI32" s="3"/>
      <c r="CJ32" s="511">
        <f t="shared" ref="CJ32:CJ95" si="113">(CH32)-(CI32)</f>
        <v>0</v>
      </c>
      <c r="CK32" s="512" t="str">
        <f t="shared" ref="CK32:CK95" si="114">IF(CI32=0,"",(CH32)/(CI32))</f>
        <v/>
      </c>
      <c r="CL32" s="511">
        <f t="shared" ref="CL32:CM63" si="115">(CD32)+(CH32)</f>
        <v>0</v>
      </c>
      <c r="CM32" s="511">
        <f t="shared" si="115"/>
        <v>0</v>
      </c>
      <c r="CN32" s="511">
        <f t="shared" ref="CN32:CN95" si="116">(CL32)-(CM32)</f>
        <v>0</v>
      </c>
      <c r="CO32" s="512" t="str">
        <f t="shared" ref="CO32:CO95" si="117">IF(CM32=0,"",(CL32)/(CM32))</f>
        <v/>
      </c>
      <c r="CP32" s="3"/>
      <c r="CQ32" s="3"/>
      <c r="CR32" s="511">
        <f t="shared" ref="CR32:CR95" si="118">(CP32)-(CQ32)</f>
        <v>0</v>
      </c>
      <c r="CS32" s="512" t="str">
        <f t="shared" ref="CS32:CS95" si="119">IF(CQ32=0,"",(CP32)/(CQ32))</f>
        <v/>
      </c>
      <c r="CT32" s="3"/>
      <c r="CU32" s="511">
        <f>3200.5</f>
        <v>3200.5</v>
      </c>
      <c r="CV32" s="511">
        <f t="shared" ref="CV32:CV95" si="120">(CT32)-(CU32)</f>
        <v>-3200.5</v>
      </c>
      <c r="CW32" s="512">
        <f t="shared" ref="CW32:CW95" si="121">IF(CU32=0,"",(CT32)/(CU32))</f>
        <v>0</v>
      </c>
      <c r="CX32" s="511">
        <f t="shared" ref="CX32:CY63" si="122">(CP32)+(CT32)</f>
        <v>0</v>
      </c>
      <c r="CY32" s="511">
        <f t="shared" si="122"/>
        <v>3200.5</v>
      </c>
      <c r="CZ32" s="511">
        <f t="shared" ref="CZ32:CZ95" si="123">(CX32)-(CY32)</f>
        <v>-3200.5</v>
      </c>
      <c r="DA32" s="512">
        <f t="shared" ref="DA32:DA95" si="124">IF(CY32=0,"",(CX32)/(CY32))</f>
        <v>0</v>
      </c>
      <c r="DB32" s="3"/>
      <c r="DC32" s="3"/>
      <c r="DD32" s="511">
        <f t="shared" ref="DD32:DD95" si="125">(DB32)-(DC32)</f>
        <v>0</v>
      </c>
      <c r="DE32" s="512" t="str">
        <f t="shared" ref="DE32:DE95" si="126">IF(DC32=0,"",(DB32)/(DC32))</f>
        <v/>
      </c>
      <c r="DF32" s="3"/>
      <c r="DG32" s="3"/>
      <c r="DH32" s="511">
        <f t="shared" ref="DH32:DH95" si="127">(DF32)-(DG32)</f>
        <v>0</v>
      </c>
      <c r="DI32" s="512" t="str">
        <f t="shared" ref="DI32:DI95" si="128">IF(DG32=0,"",(DF32)/(DG32))</f>
        <v/>
      </c>
      <c r="DJ32" s="511">
        <f t="shared" ref="DJ32:DK63" si="129">(DB32)+(DF32)</f>
        <v>0</v>
      </c>
      <c r="DK32" s="511">
        <f t="shared" si="129"/>
        <v>0</v>
      </c>
      <c r="DL32" s="511">
        <f t="shared" ref="DL32:DL95" si="130">(DJ32)-(DK32)</f>
        <v>0</v>
      </c>
      <c r="DM32" s="512" t="str">
        <f t="shared" ref="DM32:DM95" si="131">IF(DK32=0,"",(DJ32)/(DK32))</f>
        <v/>
      </c>
      <c r="DN32" s="3"/>
      <c r="DO32" s="3"/>
      <c r="DP32" s="511">
        <f t="shared" ref="DP32:DP95" si="132">(DN32)-(DO32)</f>
        <v>0</v>
      </c>
      <c r="DQ32" s="512" t="str">
        <f t="shared" ref="DQ32:DQ95" si="133">IF(DO32=0,"",(DN32)/(DO32))</f>
        <v/>
      </c>
      <c r="DR32" s="511">
        <f t="shared" ref="DR32:DR63" si="134">((((((((((((B32)+(F32))+(J32))+(N32))+(R32))+(AX32))+(BR32))+(BV32))+(BZ32))+(CL32))+(CX32))+(DJ32))+(DN32)</f>
        <v>22</v>
      </c>
      <c r="DS32" s="511">
        <f t="shared" ref="DS32:DS63" si="135">((((((((((((C32)+(G32))+(K32))+(O32))+(S32))+(AY32))+(BS32))+(BW32))+(CA32))+(CM32))+(CY32))+(DK32))+(DO32)</f>
        <v>22828.639999999999</v>
      </c>
      <c r="DT32" s="511">
        <f t="shared" ref="DT32:DT95" si="136">(DR32)-(DS32)</f>
        <v>-22806.639999999999</v>
      </c>
      <c r="DU32" s="512">
        <f t="shared" ref="DU32:DU95" si="137">IF(DS32=0,"",(DR32)/(DS32))</f>
        <v>9.6370173606487297E-4</v>
      </c>
    </row>
    <row r="33" spans="1:125" x14ac:dyDescent="0.25">
      <c r="A33" s="2" t="s">
        <v>42</v>
      </c>
      <c r="B33" s="511">
        <f>3319.08</f>
        <v>3319.08</v>
      </c>
      <c r="C33" s="3"/>
      <c r="D33" s="511">
        <f t="shared" si="69"/>
        <v>3319.08</v>
      </c>
      <c r="E33" s="512" t="str">
        <f t="shared" si="70"/>
        <v/>
      </c>
      <c r="F33" s="3"/>
      <c r="G33" s="3"/>
      <c r="H33" s="511">
        <f t="shared" si="71"/>
        <v>0</v>
      </c>
      <c r="I33" s="512" t="str">
        <f t="shared" si="72"/>
        <v/>
      </c>
      <c r="J33" s="511">
        <f>1863.24</f>
        <v>1863.24</v>
      </c>
      <c r="K33" s="511">
        <f>2893.5</f>
        <v>2893.5</v>
      </c>
      <c r="L33" s="511">
        <f t="shared" si="73"/>
        <v>-1030.26</v>
      </c>
      <c r="M33" s="512">
        <f t="shared" si="74"/>
        <v>0.64393986521513735</v>
      </c>
      <c r="N33" s="3"/>
      <c r="O33" s="3"/>
      <c r="P33" s="511">
        <f t="shared" si="75"/>
        <v>0</v>
      </c>
      <c r="Q33" s="512" t="str">
        <f t="shared" si="76"/>
        <v/>
      </c>
      <c r="R33" s="511">
        <f>264.16</f>
        <v>264.16000000000003</v>
      </c>
      <c r="S33" s="3"/>
      <c r="T33" s="511">
        <f t="shared" si="77"/>
        <v>264.16000000000003</v>
      </c>
      <c r="U33" s="512" t="str">
        <f t="shared" si="78"/>
        <v/>
      </c>
      <c r="V33" s="511">
        <f>1880.46</f>
        <v>1880.46</v>
      </c>
      <c r="W33" s="511">
        <f>2160</f>
        <v>2160</v>
      </c>
      <c r="X33" s="511">
        <f t="shared" si="79"/>
        <v>-279.53999999999996</v>
      </c>
      <c r="Y33" s="512">
        <f t="shared" si="80"/>
        <v>0.87058333333333338</v>
      </c>
      <c r="Z33" s="3"/>
      <c r="AA33" s="3"/>
      <c r="AB33" s="511">
        <f t="shared" si="81"/>
        <v>0</v>
      </c>
      <c r="AC33" s="512" t="str">
        <f t="shared" si="82"/>
        <v/>
      </c>
      <c r="AD33" s="3"/>
      <c r="AE33" s="3"/>
      <c r="AF33" s="511">
        <f t="shared" si="83"/>
        <v>0</v>
      </c>
      <c r="AG33" s="512" t="str">
        <f t="shared" si="84"/>
        <v/>
      </c>
      <c r="AH33" s="3"/>
      <c r="AI33" s="3"/>
      <c r="AJ33" s="511">
        <f t="shared" si="85"/>
        <v>0</v>
      </c>
      <c r="AK33" s="512" t="str">
        <f t="shared" si="86"/>
        <v/>
      </c>
      <c r="AL33" s="3"/>
      <c r="AM33" s="3"/>
      <c r="AN33" s="511">
        <f t="shared" si="87"/>
        <v>0</v>
      </c>
      <c r="AO33" s="512" t="str">
        <f t="shared" si="88"/>
        <v/>
      </c>
      <c r="AP33" s="3"/>
      <c r="AQ33" s="3"/>
      <c r="AR33" s="511">
        <f t="shared" si="89"/>
        <v>0</v>
      </c>
      <c r="AS33" s="512" t="str">
        <f t="shared" si="90"/>
        <v/>
      </c>
      <c r="AT33" s="3"/>
      <c r="AU33" s="3"/>
      <c r="AV33" s="511">
        <f t="shared" si="91"/>
        <v>0</v>
      </c>
      <c r="AW33" s="512" t="str">
        <f t="shared" si="92"/>
        <v/>
      </c>
      <c r="AX33" s="511">
        <f t="shared" si="93"/>
        <v>1880.46</v>
      </c>
      <c r="AY33" s="511">
        <f t="shared" si="93"/>
        <v>2160</v>
      </c>
      <c r="AZ33" s="511">
        <f t="shared" si="94"/>
        <v>-279.53999999999996</v>
      </c>
      <c r="BA33" s="512">
        <f t="shared" si="95"/>
        <v>0.87058333333333338</v>
      </c>
      <c r="BB33" s="511">
        <f>345.56</f>
        <v>345.56</v>
      </c>
      <c r="BC33" s="511">
        <f>2486</f>
        <v>2486</v>
      </c>
      <c r="BD33" s="511">
        <f t="shared" si="96"/>
        <v>-2140.44</v>
      </c>
      <c r="BE33" s="512">
        <f t="shared" si="97"/>
        <v>0.13900241351568784</v>
      </c>
      <c r="BF33" s="3"/>
      <c r="BG33" s="3"/>
      <c r="BH33" s="511">
        <f t="shared" si="98"/>
        <v>0</v>
      </c>
      <c r="BI33" s="512" t="str">
        <f t="shared" si="99"/>
        <v/>
      </c>
      <c r="BJ33" s="3"/>
      <c r="BK33" s="3"/>
      <c r="BL33" s="511">
        <f t="shared" si="100"/>
        <v>0</v>
      </c>
      <c r="BM33" s="512" t="str">
        <f t="shared" si="101"/>
        <v/>
      </c>
      <c r="BN33" s="3"/>
      <c r="BO33" s="3"/>
      <c r="BP33" s="511">
        <f t="shared" si="102"/>
        <v>0</v>
      </c>
      <c r="BQ33" s="512" t="str">
        <f t="shared" si="103"/>
        <v/>
      </c>
      <c r="BR33" s="511">
        <f t="shared" si="104"/>
        <v>345.56</v>
      </c>
      <c r="BS33" s="511">
        <f t="shared" si="104"/>
        <v>2486</v>
      </c>
      <c r="BT33" s="511">
        <f t="shared" si="105"/>
        <v>-2140.44</v>
      </c>
      <c r="BU33" s="512">
        <f t="shared" si="106"/>
        <v>0.13900241351568784</v>
      </c>
      <c r="BV33" s="511">
        <f>402.96</f>
        <v>402.96</v>
      </c>
      <c r="BW33" s="3"/>
      <c r="BX33" s="511">
        <f t="shared" si="107"/>
        <v>402.96</v>
      </c>
      <c r="BY33" s="512" t="str">
        <f t="shared" si="108"/>
        <v/>
      </c>
      <c r="BZ33" s="511">
        <f>331.91</f>
        <v>331.91</v>
      </c>
      <c r="CA33" s="3"/>
      <c r="CB33" s="511">
        <f t="shared" si="109"/>
        <v>331.91</v>
      </c>
      <c r="CC33" s="512" t="str">
        <f t="shared" si="110"/>
        <v/>
      </c>
      <c r="CD33" s="511">
        <f>115.57</f>
        <v>115.57</v>
      </c>
      <c r="CE33" s="3"/>
      <c r="CF33" s="511">
        <f t="shared" si="111"/>
        <v>115.57</v>
      </c>
      <c r="CG33" s="512" t="str">
        <f t="shared" si="112"/>
        <v/>
      </c>
      <c r="CH33" s="3"/>
      <c r="CI33" s="3"/>
      <c r="CJ33" s="511">
        <f t="shared" si="113"/>
        <v>0</v>
      </c>
      <c r="CK33" s="512" t="str">
        <f t="shared" si="114"/>
        <v/>
      </c>
      <c r="CL33" s="511">
        <f t="shared" si="115"/>
        <v>115.57</v>
      </c>
      <c r="CM33" s="511">
        <f t="shared" si="115"/>
        <v>0</v>
      </c>
      <c r="CN33" s="511">
        <f t="shared" si="116"/>
        <v>115.57</v>
      </c>
      <c r="CO33" s="512" t="str">
        <f t="shared" si="117"/>
        <v/>
      </c>
      <c r="CP33" s="511">
        <f>121.53</f>
        <v>121.53</v>
      </c>
      <c r="CQ33" s="3"/>
      <c r="CR33" s="511">
        <f t="shared" si="118"/>
        <v>121.53</v>
      </c>
      <c r="CS33" s="512" t="str">
        <f t="shared" si="119"/>
        <v/>
      </c>
      <c r="CT33" s="511">
        <f>120.22</f>
        <v>120.22</v>
      </c>
      <c r="CU33" s="3"/>
      <c r="CV33" s="511">
        <f t="shared" si="120"/>
        <v>120.22</v>
      </c>
      <c r="CW33" s="512" t="str">
        <f t="shared" si="121"/>
        <v/>
      </c>
      <c r="CX33" s="511">
        <f t="shared" si="122"/>
        <v>241.75</v>
      </c>
      <c r="CY33" s="511">
        <f t="shared" si="122"/>
        <v>0</v>
      </c>
      <c r="CZ33" s="511">
        <f t="shared" si="123"/>
        <v>241.75</v>
      </c>
      <c r="DA33" s="512" t="str">
        <f t="shared" si="124"/>
        <v/>
      </c>
      <c r="DB33" s="3"/>
      <c r="DC33" s="3"/>
      <c r="DD33" s="511">
        <f t="shared" si="125"/>
        <v>0</v>
      </c>
      <c r="DE33" s="512" t="str">
        <f t="shared" si="126"/>
        <v/>
      </c>
      <c r="DF33" s="3"/>
      <c r="DG33" s="3"/>
      <c r="DH33" s="511">
        <f t="shared" si="127"/>
        <v>0</v>
      </c>
      <c r="DI33" s="512" t="str">
        <f t="shared" si="128"/>
        <v/>
      </c>
      <c r="DJ33" s="511">
        <f t="shared" si="129"/>
        <v>0</v>
      </c>
      <c r="DK33" s="511">
        <f t="shared" si="129"/>
        <v>0</v>
      </c>
      <c r="DL33" s="511">
        <f t="shared" si="130"/>
        <v>0</v>
      </c>
      <c r="DM33" s="512" t="str">
        <f t="shared" si="131"/>
        <v/>
      </c>
      <c r="DN33" s="3"/>
      <c r="DO33" s="3"/>
      <c r="DP33" s="511">
        <f t="shared" si="132"/>
        <v>0</v>
      </c>
      <c r="DQ33" s="512" t="str">
        <f t="shared" si="133"/>
        <v/>
      </c>
      <c r="DR33" s="511">
        <f t="shared" si="134"/>
        <v>8764.69</v>
      </c>
      <c r="DS33" s="511">
        <f t="shared" si="135"/>
        <v>7539.5</v>
      </c>
      <c r="DT33" s="511">
        <f t="shared" si="136"/>
        <v>1225.1900000000005</v>
      </c>
      <c r="DU33" s="512">
        <f t="shared" si="137"/>
        <v>1.1625028184892898</v>
      </c>
    </row>
    <row r="34" spans="1:125" x14ac:dyDescent="0.25">
      <c r="A34" s="2" t="s">
        <v>711</v>
      </c>
      <c r="B34" s="511">
        <f>197.91</f>
        <v>197.91</v>
      </c>
      <c r="C34" s="3"/>
      <c r="D34" s="511">
        <f t="shared" si="69"/>
        <v>197.91</v>
      </c>
      <c r="E34" s="512" t="str">
        <f t="shared" si="70"/>
        <v/>
      </c>
      <c r="F34" s="3"/>
      <c r="G34" s="3"/>
      <c r="H34" s="511">
        <f t="shared" si="71"/>
        <v>0</v>
      </c>
      <c r="I34" s="512" t="str">
        <f t="shared" si="72"/>
        <v/>
      </c>
      <c r="J34" s="511">
        <f>12</f>
        <v>12</v>
      </c>
      <c r="K34" s="3"/>
      <c r="L34" s="511">
        <f t="shared" si="73"/>
        <v>12</v>
      </c>
      <c r="M34" s="512" t="str">
        <f t="shared" si="74"/>
        <v/>
      </c>
      <c r="N34" s="3"/>
      <c r="O34" s="3"/>
      <c r="P34" s="511">
        <f t="shared" si="75"/>
        <v>0</v>
      </c>
      <c r="Q34" s="512" t="str">
        <f t="shared" si="76"/>
        <v/>
      </c>
      <c r="R34" s="3"/>
      <c r="S34" s="3"/>
      <c r="T34" s="511">
        <f t="shared" si="77"/>
        <v>0</v>
      </c>
      <c r="U34" s="512" t="str">
        <f t="shared" si="78"/>
        <v/>
      </c>
      <c r="V34" s="3"/>
      <c r="W34" s="3"/>
      <c r="X34" s="511">
        <f t="shared" si="79"/>
        <v>0</v>
      </c>
      <c r="Y34" s="512" t="str">
        <f t="shared" si="80"/>
        <v/>
      </c>
      <c r="Z34" s="3"/>
      <c r="AA34" s="3"/>
      <c r="AB34" s="511">
        <f t="shared" si="81"/>
        <v>0</v>
      </c>
      <c r="AC34" s="512" t="str">
        <f t="shared" si="82"/>
        <v/>
      </c>
      <c r="AD34" s="3"/>
      <c r="AE34" s="3"/>
      <c r="AF34" s="511">
        <f t="shared" si="83"/>
        <v>0</v>
      </c>
      <c r="AG34" s="512" t="str">
        <f t="shared" si="84"/>
        <v/>
      </c>
      <c r="AH34" s="3"/>
      <c r="AI34" s="3"/>
      <c r="AJ34" s="511">
        <f t="shared" si="85"/>
        <v>0</v>
      </c>
      <c r="AK34" s="512" t="str">
        <f t="shared" si="86"/>
        <v/>
      </c>
      <c r="AL34" s="3"/>
      <c r="AM34" s="3"/>
      <c r="AN34" s="511">
        <f t="shared" si="87"/>
        <v>0</v>
      </c>
      <c r="AO34" s="512" t="str">
        <f t="shared" si="88"/>
        <v/>
      </c>
      <c r="AP34" s="3"/>
      <c r="AQ34" s="3"/>
      <c r="AR34" s="511">
        <f t="shared" si="89"/>
        <v>0</v>
      </c>
      <c r="AS34" s="512" t="str">
        <f t="shared" si="90"/>
        <v/>
      </c>
      <c r="AT34" s="3"/>
      <c r="AU34" s="3"/>
      <c r="AV34" s="511">
        <f t="shared" si="91"/>
        <v>0</v>
      </c>
      <c r="AW34" s="512" t="str">
        <f t="shared" si="92"/>
        <v/>
      </c>
      <c r="AX34" s="511">
        <f t="shared" si="93"/>
        <v>0</v>
      </c>
      <c r="AY34" s="511">
        <f t="shared" si="93"/>
        <v>0</v>
      </c>
      <c r="AZ34" s="511">
        <f t="shared" si="94"/>
        <v>0</v>
      </c>
      <c r="BA34" s="512" t="str">
        <f t="shared" si="95"/>
        <v/>
      </c>
      <c r="BB34" s="3"/>
      <c r="BC34" s="3"/>
      <c r="BD34" s="511">
        <f t="shared" si="96"/>
        <v>0</v>
      </c>
      <c r="BE34" s="512" t="str">
        <f t="shared" si="97"/>
        <v/>
      </c>
      <c r="BF34" s="3"/>
      <c r="BG34" s="3"/>
      <c r="BH34" s="511">
        <f t="shared" si="98"/>
        <v>0</v>
      </c>
      <c r="BI34" s="512" t="str">
        <f t="shared" si="99"/>
        <v/>
      </c>
      <c r="BJ34" s="3"/>
      <c r="BK34" s="3"/>
      <c r="BL34" s="511">
        <f t="shared" si="100"/>
        <v>0</v>
      </c>
      <c r="BM34" s="512" t="str">
        <f t="shared" si="101"/>
        <v/>
      </c>
      <c r="BN34" s="3"/>
      <c r="BO34" s="3"/>
      <c r="BP34" s="511">
        <f t="shared" si="102"/>
        <v>0</v>
      </c>
      <c r="BQ34" s="512" t="str">
        <f t="shared" si="103"/>
        <v/>
      </c>
      <c r="BR34" s="511">
        <f t="shared" si="104"/>
        <v>0</v>
      </c>
      <c r="BS34" s="511">
        <f t="shared" si="104"/>
        <v>0</v>
      </c>
      <c r="BT34" s="511">
        <f t="shared" si="105"/>
        <v>0</v>
      </c>
      <c r="BU34" s="512" t="str">
        <f t="shared" si="106"/>
        <v/>
      </c>
      <c r="BV34" s="3"/>
      <c r="BW34" s="3"/>
      <c r="BX34" s="511">
        <f t="shared" si="107"/>
        <v>0</v>
      </c>
      <c r="BY34" s="512" t="str">
        <f t="shared" si="108"/>
        <v/>
      </c>
      <c r="BZ34" s="3"/>
      <c r="CA34" s="3"/>
      <c r="CB34" s="511">
        <f t="shared" si="109"/>
        <v>0</v>
      </c>
      <c r="CC34" s="512" t="str">
        <f t="shared" si="110"/>
        <v/>
      </c>
      <c r="CD34" s="3"/>
      <c r="CE34" s="3"/>
      <c r="CF34" s="511">
        <f t="shared" si="111"/>
        <v>0</v>
      </c>
      <c r="CG34" s="512" t="str">
        <f t="shared" si="112"/>
        <v/>
      </c>
      <c r="CH34" s="3"/>
      <c r="CI34" s="3"/>
      <c r="CJ34" s="511">
        <f t="shared" si="113"/>
        <v>0</v>
      </c>
      <c r="CK34" s="512" t="str">
        <f t="shared" si="114"/>
        <v/>
      </c>
      <c r="CL34" s="511">
        <f t="shared" si="115"/>
        <v>0</v>
      </c>
      <c r="CM34" s="511">
        <f t="shared" si="115"/>
        <v>0</v>
      </c>
      <c r="CN34" s="511">
        <f t="shared" si="116"/>
        <v>0</v>
      </c>
      <c r="CO34" s="512" t="str">
        <f t="shared" si="117"/>
        <v/>
      </c>
      <c r="CP34" s="3"/>
      <c r="CQ34" s="3"/>
      <c r="CR34" s="511">
        <f t="shared" si="118"/>
        <v>0</v>
      </c>
      <c r="CS34" s="512" t="str">
        <f t="shared" si="119"/>
        <v/>
      </c>
      <c r="CT34" s="3"/>
      <c r="CU34" s="3"/>
      <c r="CV34" s="511">
        <f t="shared" si="120"/>
        <v>0</v>
      </c>
      <c r="CW34" s="512" t="str">
        <f t="shared" si="121"/>
        <v/>
      </c>
      <c r="CX34" s="511">
        <f t="shared" si="122"/>
        <v>0</v>
      </c>
      <c r="CY34" s="511">
        <f t="shared" si="122"/>
        <v>0</v>
      </c>
      <c r="CZ34" s="511">
        <f t="shared" si="123"/>
        <v>0</v>
      </c>
      <c r="DA34" s="512" t="str">
        <f t="shared" si="124"/>
        <v/>
      </c>
      <c r="DB34" s="511">
        <f>0</f>
        <v>0</v>
      </c>
      <c r="DC34" s="3"/>
      <c r="DD34" s="511">
        <f t="shared" si="125"/>
        <v>0</v>
      </c>
      <c r="DE34" s="512" t="str">
        <f t="shared" si="126"/>
        <v/>
      </c>
      <c r="DF34" s="3"/>
      <c r="DG34" s="3"/>
      <c r="DH34" s="511">
        <f t="shared" si="127"/>
        <v>0</v>
      </c>
      <c r="DI34" s="512" t="str">
        <f t="shared" si="128"/>
        <v/>
      </c>
      <c r="DJ34" s="511">
        <f t="shared" si="129"/>
        <v>0</v>
      </c>
      <c r="DK34" s="511">
        <f t="shared" si="129"/>
        <v>0</v>
      </c>
      <c r="DL34" s="511">
        <f t="shared" si="130"/>
        <v>0</v>
      </c>
      <c r="DM34" s="512" t="str">
        <f t="shared" si="131"/>
        <v/>
      </c>
      <c r="DN34" s="3"/>
      <c r="DO34" s="3"/>
      <c r="DP34" s="511">
        <f t="shared" si="132"/>
        <v>0</v>
      </c>
      <c r="DQ34" s="512" t="str">
        <f t="shared" si="133"/>
        <v/>
      </c>
      <c r="DR34" s="511">
        <f t="shared" si="134"/>
        <v>209.91</v>
      </c>
      <c r="DS34" s="511">
        <f t="shared" si="135"/>
        <v>0</v>
      </c>
      <c r="DT34" s="511">
        <f t="shared" si="136"/>
        <v>209.91</v>
      </c>
      <c r="DU34" s="512" t="str">
        <f t="shared" si="137"/>
        <v/>
      </c>
    </row>
    <row r="35" spans="1:125" x14ac:dyDescent="0.25">
      <c r="A35" s="2" t="s">
        <v>44</v>
      </c>
      <c r="B35" s="513">
        <f>(B33)+(B34)</f>
        <v>3516.99</v>
      </c>
      <c r="C35" s="513">
        <f>(C33)+(C34)</f>
        <v>0</v>
      </c>
      <c r="D35" s="513">
        <f t="shared" si="69"/>
        <v>3516.99</v>
      </c>
      <c r="E35" s="514" t="str">
        <f t="shared" si="70"/>
        <v/>
      </c>
      <c r="F35" s="513">
        <f>(F33)+(F34)</f>
        <v>0</v>
      </c>
      <c r="G35" s="513">
        <f>(G33)+(G34)</f>
        <v>0</v>
      </c>
      <c r="H35" s="513">
        <f t="shared" si="71"/>
        <v>0</v>
      </c>
      <c r="I35" s="514" t="str">
        <f t="shared" si="72"/>
        <v/>
      </c>
      <c r="J35" s="513">
        <f>(J33)+(J34)</f>
        <v>1875.24</v>
      </c>
      <c r="K35" s="513">
        <f>(K33)+(K34)</f>
        <v>2893.5</v>
      </c>
      <c r="L35" s="513">
        <f t="shared" si="73"/>
        <v>-1018.26</v>
      </c>
      <c r="M35" s="514">
        <f t="shared" si="74"/>
        <v>0.64808709175738721</v>
      </c>
      <c r="N35" s="513">
        <f>(N33)+(N34)</f>
        <v>0</v>
      </c>
      <c r="O35" s="513">
        <f>(O33)+(O34)</f>
        <v>0</v>
      </c>
      <c r="P35" s="513">
        <f t="shared" si="75"/>
        <v>0</v>
      </c>
      <c r="Q35" s="514" t="str">
        <f t="shared" si="76"/>
        <v/>
      </c>
      <c r="R35" s="513">
        <f>(R33)+(R34)</f>
        <v>264.16000000000003</v>
      </c>
      <c r="S35" s="513">
        <f>(S33)+(S34)</f>
        <v>0</v>
      </c>
      <c r="T35" s="513">
        <f t="shared" si="77"/>
        <v>264.16000000000003</v>
      </c>
      <c r="U35" s="514" t="str">
        <f t="shared" si="78"/>
        <v/>
      </c>
      <c r="V35" s="513">
        <f>(V33)+(V34)</f>
        <v>1880.46</v>
      </c>
      <c r="W35" s="513">
        <f>(W33)+(W34)</f>
        <v>2160</v>
      </c>
      <c r="X35" s="513">
        <f t="shared" si="79"/>
        <v>-279.53999999999996</v>
      </c>
      <c r="Y35" s="514">
        <f t="shared" si="80"/>
        <v>0.87058333333333338</v>
      </c>
      <c r="Z35" s="513">
        <f>(Z33)+(Z34)</f>
        <v>0</v>
      </c>
      <c r="AA35" s="513">
        <f>(AA33)+(AA34)</f>
        <v>0</v>
      </c>
      <c r="AB35" s="513">
        <f t="shared" si="81"/>
        <v>0</v>
      </c>
      <c r="AC35" s="514" t="str">
        <f t="shared" si="82"/>
        <v/>
      </c>
      <c r="AD35" s="513">
        <f>(AD33)+(AD34)</f>
        <v>0</v>
      </c>
      <c r="AE35" s="513">
        <f>(AE33)+(AE34)</f>
        <v>0</v>
      </c>
      <c r="AF35" s="513">
        <f t="shared" si="83"/>
        <v>0</v>
      </c>
      <c r="AG35" s="514" t="str">
        <f t="shared" si="84"/>
        <v/>
      </c>
      <c r="AH35" s="513">
        <f>(AH33)+(AH34)</f>
        <v>0</v>
      </c>
      <c r="AI35" s="513">
        <f>(AI33)+(AI34)</f>
        <v>0</v>
      </c>
      <c r="AJ35" s="513">
        <f t="shared" si="85"/>
        <v>0</v>
      </c>
      <c r="AK35" s="514" t="str">
        <f t="shared" si="86"/>
        <v/>
      </c>
      <c r="AL35" s="513">
        <f>(AL33)+(AL34)</f>
        <v>0</v>
      </c>
      <c r="AM35" s="513">
        <f>(AM33)+(AM34)</f>
        <v>0</v>
      </c>
      <c r="AN35" s="513">
        <f t="shared" si="87"/>
        <v>0</v>
      </c>
      <c r="AO35" s="514" t="str">
        <f t="shared" si="88"/>
        <v/>
      </c>
      <c r="AP35" s="513">
        <f>(AP33)+(AP34)</f>
        <v>0</v>
      </c>
      <c r="AQ35" s="513">
        <f>(AQ33)+(AQ34)</f>
        <v>0</v>
      </c>
      <c r="AR35" s="513">
        <f t="shared" si="89"/>
        <v>0</v>
      </c>
      <c r="AS35" s="514" t="str">
        <f t="shared" si="90"/>
        <v/>
      </c>
      <c r="AT35" s="513">
        <f>(AT33)+(AT34)</f>
        <v>0</v>
      </c>
      <c r="AU35" s="513">
        <f>(AU33)+(AU34)</f>
        <v>0</v>
      </c>
      <c r="AV35" s="513">
        <f t="shared" si="91"/>
        <v>0</v>
      </c>
      <c r="AW35" s="514" t="str">
        <f t="shared" si="92"/>
        <v/>
      </c>
      <c r="AX35" s="513">
        <f t="shared" si="93"/>
        <v>1880.46</v>
      </c>
      <c r="AY35" s="513">
        <f t="shared" si="93"/>
        <v>2160</v>
      </c>
      <c r="AZ35" s="513">
        <f t="shared" si="94"/>
        <v>-279.53999999999996</v>
      </c>
      <c r="BA35" s="514">
        <f t="shared" si="95"/>
        <v>0.87058333333333338</v>
      </c>
      <c r="BB35" s="513">
        <f>(BB33)+(BB34)</f>
        <v>345.56</v>
      </c>
      <c r="BC35" s="513">
        <f>(BC33)+(BC34)</f>
        <v>2486</v>
      </c>
      <c r="BD35" s="513">
        <f t="shared" si="96"/>
        <v>-2140.44</v>
      </c>
      <c r="BE35" s="514">
        <f t="shared" si="97"/>
        <v>0.13900241351568784</v>
      </c>
      <c r="BF35" s="513">
        <f>(BF33)+(BF34)</f>
        <v>0</v>
      </c>
      <c r="BG35" s="513">
        <f>(BG33)+(BG34)</f>
        <v>0</v>
      </c>
      <c r="BH35" s="513">
        <f t="shared" si="98"/>
        <v>0</v>
      </c>
      <c r="BI35" s="514" t="str">
        <f t="shared" si="99"/>
        <v/>
      </c>
      <c r="BJ35" s="513">
        <f>(BJ33)+(BJ34)</f>
        <v>0</v>
      </c>
      <c r="BK35" s="513">
        <f>(BK33)+(BK34)</f>
        <v>0</v>
      </c>
      <c r="BL35" s="513">
        <f t="shared" si="100"/>
        <v>0</v>
      </c>
      <c r="BM35" s="514" t="str">
        <f t="shared" si="101"/>
        <v/>
      </c>
      <c r="BN35" s="513">
        <f>(BN33)+(BN34)</f>
        <v>0</v>
      </c>
      <c r="BO35" s="513">
        <f>(BO33)+(BO34)</f>
        <v>0</v>
      </c>
      <c r="BP35" s="513">
        <f t="shared" si="102"/>
        <v>0</v>
      </c>
      <c r="BQ35" s="514" t="str">
        <f t="shared" si="103"/>
        <v/>
      </c>
      <c r="BR35" s="513">
        <f t="shared" si="104"/>
        <v>345.56</v>
      </c>
      <c r="BS35" s="513">
        <f t="shared" si="104"/>
        <v>2486</v>
      </c>
      <c r="BT35" s="513">
        <f t="shared" si="105"/>
        <v>-2140.44</v>
      </c>
      <c r="BU35" s="514">
        <f t="shared" si="106"/>
        <v>0.13900241351568784</v>
      </c>
      <c r="BV35" s="513">
        <f>(BV33)+(BV34)</f>
        <v>402.96</v>
      </c>
      <c r="BW35" s="513">
        <f>(BW33)+(BW34)</f>
        <v>0</v>
      </c>
      <c r="BX35" s="513">
        <f t="shared" si="107"/>
        <v>402.96</v>
      </c>
      <c r="BY35" s="514" t="str">
        <f t="shared" si="108"/>
        <v/>
      </c>
      <c r="BZ35" s="513">
        <f>(BZ33)+(BZ34)</f>
        <v>331.91</v>
      </c>
      <c r="CA35" s="513">
        <f>(CA33)+(CA34)</f>
        <v>0</v>
      </c>
      <c r="CB35" s="513">
        <f t="shared" si="109"/>
        <v>331.91</v>
      </c>
      <c r="CC35" s="514" t="str">
        <f t="shared" si="110"/>
        <v/>
      </c>
      <c r="CD35" s="513">
        <f>(CD33)+(CD34)</f>
        <v>115.57</v>
      </c>
      <c r="CE35" s="513">
        <f>(CE33)+(CE34)</f>
        <v>0</v>
      </c>
      <c r="CF35" s="513">
        <f t="shared" si="111"/>
        <v>115.57</v>
      </c>
      <c r="CG35" s="514" t="str">
        <f t="shared" si="112"/>
        <v/>
      </c>
      <c r="CH35" s="513">
        <f>(CH33)+(CH34)</f>
        <v>0</v>
      </c>
      <c r="CI35" s="513">
        <f>(CI33)+(CI34)</f>
        <v>0</v>
      </c>
      <c r="CJ35" s="513">
        <f t="shared" si="113"/>
        <v>0</v>
      </c>
      <c r="CK35" s="514" t="str">
        <f t="shared" si="114"/>
        <v/>
      </c>
      <c r="CL35" s="513">
        <f t="shared" si="115"/>
        <v>115.57</v>
      </c>
      <c r="CM35" s="513">
        <f t="shared" si="115"/>
        <v>0</v>
      </c>
      <c r="CN35" s="513">
        <f t="shared" si="116"/>
        <v>115.57</v>
      </c>
      <c r="CO35" s="514" t="str">
        <f t="shared" si="117"/>
        <v/>
      </c>
      <c r="CP35" s="513">
        <f>(CP33)+(CP34)</f>
        <v>121.53</v>
      </c>
      <c r="CQ35" s="513">
        <f>(CQ33)+(CQ34)</f>
        <v>0</v>
      </c>
      <c r="CR35" s="513">
        <f t="shared" si="118"/>
        <v>121.53</v>
      </c>
      <c r="CS35" s="514" t="str">
        <f t="shared" si="119"/>
        <v/>
      </c>
      <c r="CT35" s="513">
        <f>(CT33)+(CT34)</f>
        <v>120.22</v>
      </c>
      <c r="CU35" s="513">
        <f>(CU33)+(CU34)</f>
        <v>0</v>
      </c>
      <c r="CV35" s="513">
        <f t="shared" si="120"/>
        <v>120.22</v>
      </c>
      <c r="CW35" s="514" t="str">
        <f t="shared" si="121"/>
        <v/>
      </c>
      <c r="CX35" s="513">
        <f t="shared" si="122"/>
        <v>241.75</v>
      </c>
      <c r="CY35" s="513">
        <f t="shared" si="122"/>
        <v>0</v>
      </c>
      <c r="CZ35" s="513">
        <f t="shared" si="123"/>
        <v>241.75</v>
      </c>
      <c r="DA35" s="514" t="str">
        <f t="shared" si="124"/>
        <v/>
      </c>
      <c r="DB35" s="513">
        <f>(DB33)+(DB34)</f>
        <v>0</v>
      </c>
      <c r="DC35" s="513">
        <f>(DC33)+(DC34)</f>
        <v>0</v>
      </c>
      <c r="DD35" s="513">
        <f t="shared" si="125"/>
        <v>0</v>
      </c>
      <c r="DE35" s="514" t="str">
        <f t="shared" si="126"/>
        <v/>
      </c>
      <c r="DF35" s="513">
        <f>(DF33)+(DF34)</f>
        <v>0</v>
      </c>
      <c r="DG35" s="513">
        <f>(DG33)+(DG34)</f>
        <v>0</v>
      </c>
      <c r="DH35" s="513">
        <f t="shared" si="127"/>
        <v>0</v>
      </c>
      <c r="DI35" s="514" t="str">
        <f t="shared" si="128"/>
        <v/>
      </c>
      <c r="DJ35" s="513">
        <f t="shared" si="129"/>
        <v>0</v>
      </c>
      <c r="DK35" s="513">
        <f t="shared" si="129"/>
        <v>0</v>
      </c>
      <c r="DL35" s="513">
        <f t="shared" si="130"/>
        <v>0</v>
      </c>
      <c r="DM35" s="514" t="str">
        <f t="shared" si="131"/>
        <v/>
      </c>
      <c r="DN35" s="513">
        <f>(DN33)+(DN34)</f>
        <v>0</v>
      </c>
      <c r="DO35" s="513">
        <f>(DO33)+(DO34)</f>
        <v>0</v>
      </c>
      <c r="DP35" s="513">
        <f t="shared" si="132"/>
        <v>0</v>
      </c>
      <c r="DQ35" s="514" t="str">
        <f t="shared" si="133"/>
        <v/>
      </c>
      <c r="DR35" s="513">
        <f t="shared" si="134"/>
        <v>8974.5999999999985</v>
      </c>
      <c r="DS35" s="513">
        <f t="shared" si="135"/>
        <v>7539.5</v>
      </c>
      <c r="DT35" s="513">
        <f t="shared" si="136"/>
        <v>1435.0999999999985</v>
      </c>
      <c r="DU35" s="514">
        <f t="shared" si="137"/>
        <v>1.1903441872803235</v>
      </c>
    </row>
    <row r="36" spans="1:125" x14ac:dyDescent="0.25">
      <c r="A36" s="2" t="s">
        <v>45</v>
      </c>
      <c r="B36" s="511">
        <f>780</f>
        <v>780</v>
      </c>
      <c r="C36" s="3"/>
      <c r="D36" s="511">
        <f t="shared" si="69"/>
        <v>780</v>
      </c>
      <c r="E36" s="512" t="str">
        <f t="shared" si="70"/>
        <v/>
      </c>
      <c r="F36" s="3"/>
      <c r="G36" s="3"/>
      <c r="H36" s="511">
        <f t="shared" si="71"/>
        <v>0</v>
      </c>
      <c r="I36" s="512" t="str">
        <f t="shared" si="72"/>
        <v/>
      </c>
      <c r="J36" s="511">
        <f>1810</f>
        <v>1810</v>
      </c>
      <c r="K36" s="3"/>
      <c r="L36" s="511">
        <f t="shared" si="73"/>
        <v>1810</v>
      </c>
      <c r="M36" s="512" t="str">
        <f t="shared" si="74"/>
        <v/>
      </c>
      <c r="N36" s="3"/>
      <c r="O36" s="3"/>
      <c r="P36" s="511">
        <f t="shared" si="75"/>
        <v>0</v>
      </c>
      <c r="Q36" s="512" t="str">
        <f t="shared" si="76"/>
        <v/>
      </c>
      <c r="R36" s="3"/>
      <c r="S36" s="3"/>
      <c r="T36" s="511">
        <f t="shared" si="77"/>
        <v>0</v>
      </c>
      <c r="U36" s="512" t="str">
        <f t="shared" si="78"/>
        <v/>
      </c>
      <c r="V36" s="511">
        <f>3002</f>
        <v>3002</v>
      </c>
      <c r="W36" s="3"/>
      <c r="X36" s="511">
        <f t="shared" si="79"/>
        <v>3002</v>
      </c>
      <c r="Y36" s="512" t="str">
        <f t="shared" si="80"/>
        <v/>
      </c>
      <c r="Z36" s="3"/>
      <c r="AA36" s="3"/>
      <c r="AB36" s="511">
        <f t="shared" si="81"/>
        <v>0</v>
      </c>
      <c r="AC36" s="512" t="str">
        <f t="shared" si="82"/>
        <v/>
      </c>
      <c r="AD36" s="3"/>
      <c r="AE36" s="3"/>
      <c r="AF36" s="511">
        <f t="shared" si="83"/>
        <v>0</v>
      </c>
      <c r="AG36" s="512" t="str">
        <f t="shared" si="84"/>
        <v/>
      </c>
      <c r="AH36" s="3"/>
      <c r="AI36" s="3"/>
      <c r="AJ36" s="511">
        <f t="shared" si="85"/>
        <v>0</v>
      </c>
      <c r="AK36" s="512" t="str">
        <f t="shared" si="86"/>
        <v/>
      </c>
      <c r="AL36" s="3"/>
      <c r="AM36" s="3"/>
      <c r="AN36" s="511">
        <f t="shared" si="87"/>
        <v>0</v>
      </c>
      <c r="AO36" s="512" t="str">
        <f t="shared" si="88"/>
        <v/>
      </c>
      <c r="AP36" s="3"/>
      <c r="AQ36" s="3"/>
      <c r="AR36" s="511">
        <f t="shared" si="89"/>
        <v>0</v>
      </c>
      <c r="AS36" s="512" t="str">
        <f t="shared" si="90"/>
        <v/>
      </c>
      <c r="AT36" s="3"/>
      <c r="AU36" s="3"/>
      <c r="AV36" s="511">
        <f t="shared" si="91"/>
        <v>0</v>
      </c>
      <c r="AW36" s="512" t="str">
        <f t="shared" si="92"/>
        <v/>
      </c>
      <c r="AX36" s="511">
        <f t="shared" si="93"/>
        <v>3002</v>
      </c>
      <c r="AY36" s="511">
        <f t="shared" si="93"/>
        <v>0</v>
      </c>
      <c r="AZ36" s="511">
        <f t="shared" si="94"/>
        <v>3002</v>
      </c>
      <c r="BA36" s="512" t="str">
        <f t="shared" si="95"/>
        <v/>
      </c>
      <c r="BB36" s="511">
        <f>1810</f>
        <v>1810</v>
      </c>
      <c r="BC36" s="3"/>
      <c r="BD36" s="511">
        <f t="shared" si="96"/>
        <v>1810</v>
      </c>
      <c r="BE36" s="512" t="str">
        <f t="shared" si="97"/>
        <v/>
      </c>
      <c r="BF36" s="3"/>
      <c r="BG36" s="3"/>
      <c r="BH36" s="511">
        <f t="shared" si="98"/>
        <v>0</v>
      </c>
      <c r="BI36" s="512" t="str">
        <f t="shared" si="99"/>
        <v/>
      </c>
      <c r="BJ36" s="3"/>
      <c r="BK36" s="3"/>
      <c r="BL36" s="511">
        <f t="shared" si="100"/>
        <v>0</v>
      </c>
      <c r="BM36" s="512" t="str">
        <f t="shared" si="101"/>
        <v/>
      </c>
      <c r="BN36" s="3"/>
      <c r="BO36" s="3"/>
      <c r="BP36" s="511">
        <f t="shared" si="102"/>
        <v>0</v>
      </c>
      <c r="BQ36" s="512" t="str">
        <f t="shared" si="103"/>
        <v/>
      </c>
      <c r="BR36" s="511">
        <f t="shared" si="104"/>
        <v>1810</v>
      </c>
      <c r="BS36" s="511">
        <f t="shared" si="104"/>
        <v>0</v>
      </c>
      <c r="BT36" s="511">
        <f t="shared" si="105"/>
        <v>1810</v>
      </c>
      <c r="BU36" s="512" t="str">
        <f t="shared" si="106"/>
        <v/>
      </c>
      <c r="BV36" s="511">
        <f>774</f>
        <v>774</v>
      </c>
      <c r="BW36" s="3"/>
      <c r="BX36" s="511">
        <f t="shared" si="107"/>
        <v>774</v>
      </c>
      <c r="BY36" s="512" t="str">
        <f t="shared" si="108"/>
        <v/>
      </c>
      <c r="BZ36" s="511">
        <f>624</f>
        <v>624</v>
      </c>
      <c r="CA36" s="3"/>
      <c r="CB36" s="511">
        <f t="shared" si="109"/>
        <v>624</v>
      </c>
      <c r="CC36" s="512" t="str">
        <f t="shared" si="110"/>
        <v/>
      </c>
      <c r="CD36" s="3"/>
      <c r="CE36" s="3"/>
      <c r="CF36" s="511">
        <f t="shared" si="111"/>
        <v>0</v>
      </c>
      <c r="CG36" s="512" t="str">
        <f t="shared" si="112"/>
        <v/>
      </c>
      <c r="CH36" s="3"/>
      <c r="CI36" s="3"/>
      <c r="CJ36" s="511">
        <f t="shared" si="113"/>
        <v>0</v>
      </c>
      <c r="CK36" s="512" t="str">
        <f t="shared" si="114"/>
        <v/>
      </c>
      <c r="CL36" s="511">
        <f t="shared" si="115"/>
        <v>0</v>
      </c>
      <c r="CM36" s="511">
        <f t="shared" si="115"/>
        <v>0</v>
      </c>
      <c r="CN36" s="511">
        <f t="shared" si="116"/>
        <v>0</v>
      </c>
      <c r="CO36" s="512" t="str">
        <f t="shared" si="117"/>
        <v/>
      </c>
      <c r="CP36" s="3"/>
      <c r="CQ36" s="3"/>
      <c r="CR36" s="511">
        <f t="shared" si="118"/>
        <v>0</v>
      </c>
      <c r="CS36" s="512" t="str">
        <f t="shared" si="119"/>
        <v/>
      </c>
      <c r="CT36" s="3"/>
      <c r="CU36" s="3"/>
      <c r="CV36" s="511">
        <f t="shared" si="120"/>
        <v>0</v>
      </c>
      <c r="CW36" s="512" t="str">
        <f t="shared" si="121"/>
        <v/>
      </c>
      <c r="CX36" s="511">
        <f t="shared" si="122"/>
        <v>0</v>
      </c>
      <c r="CY36" s="511">
        <f t="shared" si="122"/>
        <v>0</v>
      </c>
      <c r="CZ36" s="511">
        <f t="shared" si="123"/>
        <v>0</v>
      </c>
      <c r="DA36" s="512" t="str">
        <f t="shared" si="124"/>
        <v/>
      </c>
      <c r="DB36" s="3"/>
      <c r="DC36" s="3"/>
      <c r="DD36" s="511">
        <f t="shared" si="125"/>
        <v>0</v>
      </c>
      <c r="DE36" s="512" t="str">
        <f t="shared" si="126"/>
        <v/>
      </c>
      <c r="DF36" s="3"/>
      <c r="DG36" s="3"/>
      <c r="DH36" s="511">
        <f t="shared" si="127"/>
        <v>0</v>
      </c>
      <c r="DI36" s="512" t="str">
        <f t="shared" si="128"/>
        <v/>
      </c>
      <c r="DJ36" s="511">
        <f t="shared" si="129"/>
        <v>0</v>
      </c>
      <c r="DK36" s="511">
        <f t="shared" si="129"/>
        <v>0</v>
      </c>
      <c r="DL36" s="511">
        <f t="shared" si="130"/>
        <v>0</v>
      </c>
      <c r="DM36" s="512" t="str">
        <f t="shared" si="131"/>
        <v/>
      </c>
      <c r="DN36" s="3"/>
      <c r="DO36" s="3"/>
      <c r="DP36" s="511">
        <f t="shared" si="132"/>
        <v>0</v>
      </c>
      <c r="DQ36" s="512" t="str">
        <f t="shared" si="133"/>
        <v/>
      </c>
      <c r="DR36" s="511">
        <f t="shared" si="134"/>
        <v>8800</v>
      </c>
      <c r="DS36" s="511">
        <f t="shared" si="135"/>
        <v>0</v>
      </c>
      <c r="DT36" s="511">
        <f t="shared" si="136"/>
        <v>8800</v>
      </c>
      <c r="DU36" s="512" t="str">
        <f t="shared" si="137"/>
        <v/>
      </c>
    </row>
    <row r="37" spans="1:125" x14ac:dyDescent="0.25">
      <c r="A37" s="2" t="s">
        <v>46</v>
      </c>
      <c r="B37" s="3"/>
      <c r="C37" s="3"/>
      <c r="D37" s="511">
        <f t="shared" si="69"/>
        <v>0</v>
      </c>
      <c r="E37" s="512" t="str">
        <f t="shared" si="70"/>
        <v/>
      </c>
      <c r="F37" s="511">
        <f>42739</f>
        <v>42739</v>
      </c>
      <c r="G37" s="511">
        <f>20000</f>
        <v>20000</v>
      </c>
      <c r="H37" s="511">
        <f t="shared" si="71"/>
        <v>22739</v>
      </c>
      <c r="I37" s="512">
        <f t="shared" si="72"/>
        <v>2.1369500000000001</v>
      </c>
      <c r="J37" s="3"/>
      <c r="K37" s="3"/>
      <c r="L37" s="511">
        <f t="shared" si="73"/>
        <v>0</v>
      </c>
      <c r="M37" s="512" t="str">
        <f t="shared" si="74"/>
        <v/>
      </c>
      <c r="N37" s="3"/>
      <c r="O37" s="3"/>
      <c r="P37" s="511">
        <f t="shared" si="75"/>
        <v>0</v>
      </c>
      <c r="Q37" s="512" t="str">
        <f t="shared" si="76"/>
        <v/>
      </c>
      <c r="R37" s="3"/>
      <c r="S37" s="3"/>
      <c r="T37" s="511">
        <f t="shared" si="77"/>
        <v>0</v>
      </c>
      <c r="U37" s="512" t="str">
        <f t="shared" si="78"/>
        <v/>
      </c>
      <c r="V37" s="3"/>
      <c r="W37" s="3"/>
      <c r="X37" s="511">
        <f t="shared" si="79"/>
        <v>0</v>
      </c>
      <c r="Y37" s="512" t="str">
        <f t="shared" si="80"/>
        <v/>
      </c>
      <c r="Z37" s="3"/>
      <c r="AA37" s="3"/>
      <c r="AB37" s="511">
        <f t="shared" si="81"/>
        <v>0</v>
      </c>
      <c r="AC37" s="512" t="str">
        <f t="shared" si="82"/>
        <v/>
      </c>
      <c r="AD37" s="3"/>
      <c r="AE37" s="3"/>
      <c r="AF37" s="511">
        <f t="shared" si="83"/>
        <v>0</v>
      </c>
      <c r="AG37" s="512" t="str">
        <f t="shared" si="84"/>
        <v/>
      </c>
      <c r="AH37" s="3"/>
      <c r="AI37" s="3"/>
      <c r="AJ37" s="511">
        <f t="shared" si="85"/>
        <v>0</v>
      </c>
      <c r="AK37" s="512" t="str">
        <f t="shared" si="86"/>
        <v/>
      </c>
      <c r="AL37" s="3"/>
      <c r="AM37" s="3"/>
      <c r="AN37" s="511">
        <f t="shared" si="87"/>
        <v>0</v>
      </c>
      <c r="AO37" s="512" t="str">
        <f t="shared" si="88"/>
        <v/>
      </c>
      <c r="AP37" s="3"/>
      <c r="AQ37" s="3"/>
      <c r="AR37" s="511">
        <f t="shared" si="89"/>
        <v>0</v>
      </c>
      <c r="AS37" s="512" t="str">
        <f t="shared" si="90"/>
        <v/>
      </c>
      <c r="AT37" s="3"/>
      <c r="AU37" s="3"/>
      <c r="AV37" s="511">
        <f t="shared" si="91"/>
        <v>0</v>
      </c>
      <c r="AW37" s="512" t="str">
        <f t="shared" si="92"/>
        <v/>
      </c>
      <c r="AX37" s="511">
        <f t="shared" si="93"/>
        <v>0</v>
      </c>
      <c r="AY37" s="511">
        <f t="shared" si="93"/>
        <v>0</v>
      </c>
      <c r="AZ37" s="511">
        <f t="shared" si="94"/>
        <v>0</v>
      </c>
      <c r="BA37" s="512" t="str">
        <f t="shared" si="95"/>
        <v/>
      </c>
      <c r="BB37" s="3"/>
      <c r="BC37" s="3"/>
      <c r="BD37" s="511">
        <f t="shared" si="96"/>
        <v>0</v>
      </c>
      <c r="BE37" s="512" t="str">
        <f t="shared" si="97"/>
        <v/>
      </c>
      <c r="BF37" s="3"/>
      <c r="BG37" s="3"/>
      <c r="BH37" s="511">
        <f t="shared" si="98"/>
        <v>0</v>
      </c>
      <c r="BI37" s="512" t="str">
        <f t="shared" si="99"/>
        <v/>
      </c>
      <c r="BJ37" s="3"/>
      <c r="BK37" s="3"/>
      <c r="BL37" s="511">
        <f t="shared" si="100"/>
        <v>0</v>
      </c>
      <c r="BM37" s="512" t="str">
        <f t="shared" si="101"/>
        <v/>
      </c>
      <c r="BN37" s="3"/>
      <c r="BO37" s="3"/>
      <c r="BP37" s="511">
        <f t="shared" si="102"/>
        <v>0</v>
      </c>
      <c r="BQ37" s="512" t="str">
        <f t="shared" si="103"/>
        <v/>
      </c>
      <c r="BR37" s="511">
        <f t="shared" si="104"/>
        <v>0</v>
      </c>
      <c r="BS37" s="511">
        <f t="shared" si="104"/>
        <v>0</v>
      </c>
      <c r="BT37" s="511">
        <f t="shared" si="105"/>
        <v>0</v>
      </c>
      <c r="BU37" s="512" t="str">
        <f t="shared" si="106"/>
        <v/>
      </c>
      <c r="BV37" s="3"/>
      <c r="BW37" s="3"/>
      <c r="BX37" s="511">
        <f t="shared" si="107"/>
        <v>0</v>
      </c>
      <c r="BY37" s="512" t="str">
        <f t="shared" si="108"/>
        <v/>
      </c>
      <c r="BZ37" s="3"/>
      <c r="CA37" s="3"/>
      <c r="CB37" s="511">
        <f t="shared" si="109"/>
        <v>0</v>
      </c>
      <c r="CC37" s="512" t="str">
        <f t="shared" si="110"/>
        <v/>
      </c>
      <c r="CD37" s="3"/>
      <c r="CE37" s="3"/>
      <c r="CF37" s="511">
        <f t="shared" si="111"/>
        <v>0</v>
      </c>
      <c r="CG37" s="512" t="str">
        <f t="shared" si="112"/>
        <v/>
      </c>
      <c r="CH37" s="3"/>
      <c r="CI37" s="3"/>
      <c r="CJ37" s="511">
        <f t="shared" si="113"/>
        <v>0</v>
      </c>
      <c r="CK37" s="512" t="str">
        <f t="shared" si="114"/>
        <v/>
      </c>
      <c r="CL37" s="511">
        <f t="shared" si="115"/>
        <v>0</v>
      </c>
      <c r="CM37" s="511">
        <f t="shared" si="115"/>
        <v>0</v>
      </c>
      <c r="CN37" s="511">
        <f t="shared" si="116"/>
        <v>0</v>
      </c>
      <c r="CO37" s="512" t="str">
        <f t="shared" si="117"/>
        <v/>
      </c>
      <c r="CP37" s="3"/>
      <c r="CQ37" s="3"/>
      <c r="CR37" s="511">
        <f t="shared" si="118"/>
        <v>0</v>
      </c>
      <c r="CS37" s="512" t="str">
        <f t="shared" si="119"/>
        <v/>
      </c>
      <c r="CT37" s="3"/>
      <c r="CU37" s="3"/>
      <c r="CV37" s="511">
        <f t="shared" si="120"/>
        <v>0</v>
      </c>
      <c r="CW37" s="512" t="str">
        <f t="shared" si="121"/>
        <v/>
      </c>
      <c r="CX37" s="511">
        <f t="shared" si="122"/>
        <v>0</v>
      </c>
      <c r="CY37" s="511">
        <f t="shared" si="122"/>
        <v>0</v>
      </c>
      <c r="CZ37" s="511">
        <f t="shared" si="123"/>
        <v>0</v>
      </c>
      <c r="DA37" s="512" t="str">
        <f t="shared" si="124"/>
        <v/>
      </c>
      <c r="DB37" s="3"/>
      <c r="DC37" s="3"/>
      <c r="DD37" s="511">
        <f t="shared" si="125"/>
        <v>0</v>
      </c>
      <c r="DE37" s="512" t="str">
        <f t="shared" si="126"/>
        <v/>
      </c>
      <c r="DF37" s="3"/>
      <c r="DG37" s="3"/>
      <c r="DH37" s="511">
        <f t="shared" si="127"/>
        <v>0</v>
      </c>
      <c r="DI37" s="512" t="str">
        <f t="shared" si="128"/>
        <v/>
      </c>
      <c r="DJ37" s="511">
        <f t="shared" si="129"/>
        <v>0</v>
      </c>
      <c r="DK37" s="511">
        <f t="shared" si="129"/>
        <v>0</v>
      </c>
      <c r="DL37" s="511">
        <f t="shared" si="130"/>
        <v>0</v>
      </c>
      <c r="DM37" s="512" t="str">
        <f t="shared" si="131"/>
        <v/>
      </c>
      <c r="DN37" s="3"/>
      <c r="DO37" s="3"/>
      <c r="DP37" s="511">
        <f t="shared" si="132"/>
        <v>0</v>
      </c>
      <c r="DQ37" s="512" t="str">
        <f t="shared" si="133"/>
        <v/>
      </c>
      <c r="DR37" s="511">
        <f t="shared" si="134"/>
        <v>42739</v>
      </c>
      <c r="DS37" s="511">
        <f t="shared" si="135"/>
        <v>20000</v>
      </c>
      <c r="DT37" s="511">
        <f t="shared" si="136"/>
        <v>22739</v>
      </c>
      <c r="DU37" s="512">
        <f t="shared" si="137"/>
        <v>2.1369500000000001</v>
      </c>
    </row>
    <row r="38" spans="1:125" x14ac:dyDescent="0.25">
      <c r="A38" s="2" t="s">
        <v>60</v>
      </c>
      <c r="B38" s="511">
        <f>3422.06</f>
        <v>3422.06</v>
      </c>
      <c r="C38" s="3"/>
      <c r="D38" s="511">
        <f t="shared" si="69"/>
        <v>3422.06</v>
      </c>
      <c r="E38" s="512" t="str">
        <f t="shared" si="70"/>
        <v/>
      </c>
      <c r="F38" s="511">
        <f>4704.43</f>
        <v>4704.43</v>
      </c>
      <c r="G38" s="511">
        <f>4700</f>
        <v>4700</v>
      </c>
      <c r="H38" s="511">
        <f t="shared" si="71"/>
        <v>4.430000000000291</v>
      </c>
      <c r="I38" s="512">
        <f t="shared" si="72"/>
        <v>1.0009425531914895</v>
      </c>
      <c r="J38" s="511">
        <f>3713.84</f>
        <v>3713.84</v>
      </c>
      <c r="K38" s="511">
        <f>750</f>
        <v>750</v>
      </c>
      <c r="L38" s="511">
        <f t="shared" si="73"/>
        <v>2963.84</v>
      </c>
      <c r="M38" s="512">
        <f t="shared" si="74"/>
        <v>4.951786666666667</v>
      </c>
      <c r="N38" s="3"/>
      <c r="O38" s="3"/>
      <c r="P38" s="511">
        <f t="shared" si="75"/>
        <v>0</v>
      </c>
      <c r="Q38" s="512" t="str">
        <f t="shared" si="76"/>
        <v/>
      </c>
      <c r="R38" s="511">
        <f>1920.9</f>
        <v>1920.9</v>
      </c>
      <c r="S38" s="3"/>
      <c r="T38" s="511">
        <f t="shared" si="77"/>
        <v>1920.9</v>
      </c>
      <c r="U38" s="512" t="str">
        <f t="shared" si="78"/>
        <v/>
      </c>
      <c r="V38" s="511">
        <f>7599.73</f>
        <v>7599.73</v>
      </c>
      <c r="W38" s="511">
        <f>2700</f>
        <v>2700</v>
      </c>
      <c r="X38" s="511">
        <f t="shared" si="79"/>
        <v>4899.7299999999996</v>
      </c>
      <c r="Y38" s="512">
        <f t="shared" si="80"/>
        <v>2.8147148148148147</v>
      </c>
      <c r="Z38" s="3"/>
      <c r="AA38" s="3"/>
      <c r="AB38" s="511">
        <f t="shared" si="81"/>
        <v>0</v>
      </c>
      <c r="AC38" s="512" t="str">
        <f t="shared" si="82"/>
        <v/>
      </c>
      <c r="AD38" s="3"/>
      <c r="AE38" s="3"/>
      <c r="AF38" s="511">
        <f t="shared" si="83"/>
        <v>0</v>
      </c>
      <c r="AG38" s="512" t="str">
        <f t="shared" si="84"/>
        <v/>
      </c>
      <c r="AH38" s="3"/>
      <c r="AI38" s="3"/>
      <c r="AJ38" s="511">
        <f t="shared" si="85"/>
        <v>0</v>
      </c>
      <c r="AK38" s="512" t="str">
        <f t="shared" si="86"/>
        <v/>
      </c>
      <c r="AL38" s="3"/>
      <c r="AM38" s="3"/>
      <c r="AN38" s="511">
        <f t="shared" si="87"/>
        <v>0</v>
      </c>
      <c r="AO38" s="512" t="str">
        <f t="shared" si="88"/>
        <v/>
      </c>
      <c r="AP38" s="3"/>
      <c r="AQ38" s="3"/>
      <c r="AR38" s="511">
        <f t="shared" si="89"/>
        <v>0</v>
      </c>
      <c r="AS38" s="512" t="str">
        <f t="shared" si="90"/>
        <v/>
      </c>
      <c r="AT38" s="3"/>
      <c r="AU38" s="3"/>
      <c r="AV38" s="511">
        <f t="shared" si="91"/>
        <v>0</v>
      </c>
      <c r="AW38" s="512" t="str">
        <f t="shared" si="92"/>
        <v/>
      </c>
      <c r="AX38" s="511">
        <f t="shared" si="93"/>
        <v>7599.73</v>
      </c>
      <c r="AY38" s="511">
        <f t="shared" si="93"/>
        <v>2700</v>
      </c>
      <c r="AZ38" s="511">
        <f t="shared" si="94"/>
        <v>4899.7299999999996</v>
      </c>
      <c r="BA38" s="512">
        <f t="shared" si="95"/>
        <v>2.8147148148148147</v>
      </c>
      <c r="BB38" s="511">
        <f>868.71</f>
        <v>868.71</v>
      </c>
      <c r="BC38" s="511">
        <f>1262.58</f>
        <v>1262.58</v>
      </c>
      <c r="BD38" s="511">
        <f t="shared" si="96"/>
        <v>-393.86999999999989</v>
      </c>
      <c r="BE38" s="512">
        <f t="shared" si="97"/>
        <v>0.68804352991493611</v>
      </c>
      <c r="BF38" s="3"/>
      <c r="BG38" s="3"/>
      <c r="BH38" s="511">
        <f t="shared" si="98"/>
        <v>0</v>
      </c>
      <c r="BI38" s="512" t="str">
        <f t="shared" si="99"/>
        <v/>
      </c>
      <c r="BJ38" s="3"/>
      <c r="BK38" s="3"/>
      <c r="BL38" s="511">
        <f t="shared" si="100"/>
        <v>0</v>
      </c>
      <c r="BM38" s="512" t="str">
        <f t="shared" si="101"/>
        <v/>
      </c>
      <c r="BN38" s="3"/>
      <c r="BO38" s="3"/>
      <c r="BP38" s="511">
        <f t="shared" si="102"/>
        <v>0</v>
      </c>
      <c r="BQ38" s="512" t="str">
        <f t="shared" si="103"/>
        <v/>
      </c>
      <c r="BR38" s="511">
        <f t="shared" si="104"/>
        <v>868.71</v>
      </c>
      <c r="BS38" s="511">
        <f t="shared" si="104"/>
        <v>1262.58</v>
      </c>
      <c r="BT38" s="511">
        <f t="shared" si="105"/>
        <v>-393.86999999999989</v>
      </c>
      <c r="BU38" s="512">
        <f t="shared" si="106"/>
        <v>0.68804352991493611</v>
      </c>
      <c r="BV38" s="511">
        <f>1084.28</f>
        <v>1084.28</v>
      </c>
      <c r="BW38" s="3"/>
      <c r="BX38" s="511">
        <f t="shared" si="107"/>
        <v>1084.28</v>
      </c>
      <c r="BY38" s="512" t="str">
        <f t="shared" si="108"/>
        <v/>
      </c>
      <c r="BZ38" s="511">
        <f>1070.17</f>
        <v>1070.17</v>
      </c>
      <c r="CA38" s="3"/>
      <c r="CB38" s="511">
        <f t="shared" si="109"/>
        <v>1070.17</v>
      </c>
      <c r="CC38" s="512" t="str">
        <f t="shared" si="110"/>
        <v/>
      </c>
      <c r="CD38" s="511">
        <f>505.84</f>
        <v>505.84</v>
      </c>
      <c r="CE38" s="3"/>
      <c r="CF38" s="511">
        <f t="shared" si="111"/>
        <v>505.84</v>
      </c>
      <c r="CG38" s="512" t="str">
        <f t="shared" si="112"/>
        <v/>
      </c>
      <c r="CH38" s="511">
        <f>32.64</f>
        <v>32.64</v>
      </c>
      <c r="CI38" s="3"/>
      <c r="CJ38" s="511">
        <f t="shared" si="113"/>
        <v>32.64</v>
      </c>
      <c r="CK38" s="512" t="str">
        <f t="shared" si="114"/>
        <v/>
      </c>
      <c r="CL38" s="511">
        <f t="shared" si="115"/>
        <v>538.48</v>
      </c>
      <c r="CM38" s="511">
        <f t="shared" si="115"/>
        <v>0</v>
      </c>
      <c r="CN38" s="511">
        <f t="shared" si="116"/>
        <v>538.48</v>
      </c>
      <c r="CO38" s="512" t="str">
        <f t="shared" si="117"/>
        <v/>
      </c>
      <c r="CP38" s="511">
        <f>274.21</f>
        <v>274.20999999999998</v>
      </c>
      <c r="CQ38" s="3"/>
      <c r="CR38" s="511">
        <f t="shared" si="118"/>
        <v>274.20999999999998</v>
      </c>
      <c r="CS38" s="512" t="str">
        <f t="shared" si="119"/>
        <v/>
      </c>
      <c r="CT38" s="511">
        <f>456.5</f>
        <v>456.5</v>
      </c>
      <c r="CU38" s="3"/>
      <c r="CV38" s="511">
        <f t="shared" si="120"/>
        <v>456.5</v>
      </c>
      <c r="CW38" s="512" t="str">
        <f t="shared" si="121"/>
        <v/>
      </c>
      <c r="CX38" s="511">
        <f t="shared" si="122"/>
        <v>730.71</v>
      </c>
      <c r="CY38" s="511">
        <f t="shared" si="122"/>
        <v>0</v>
      </c>
      <c r="CZ38" s="511">
        <f t="shared" si="123"/>
        <v>730.71</v>
      </c>
      <c r="DA38" s="512" t="str">
        <f t="shared" si="124"/>
        <v/>
      </c>
      <c r="DB38" s="511">
        <f>163.04</f>
        <v>163.04</v>
      </c>
      <c r="DC38" s="3"/>
      <c r="DD38" s="511">
        <f t="shared" si="125"/>
        <v>163.04</v>
      </c>
      <c r="DE38" s="512" t="str">
        <f t="shared" si="126"/>
        <v/>
      </c>
      <c r="DF38" s="3"/>
      <c r="DG38" s="3"/>
      <c r="DH38" s="511">
        <f t="shared" si="127"/>
        <v>0</v>
      </c>
      <c r="DI38" s="512" t="str">
        <f t="shared" si="128"/>
        <v/>
      </c>
      <c r="DJ38" s="511">
        <f t="shared" si="129"/>
        <v>163.04</v>
      </c>
      <c r="DK38" s="511">
        <f t="shared" si="129"/>
        <v>0</v>
      </c>
      <c r="DL38" s="511">
        <f t="shared" si="130"/>
        <v>163.04</v>
      </c>
      <c r="DM38" s="512" t="str">
        <f t="shared" si="131"/>
        <v/>
      </c>
      <c r="DN38" s="3"/>
      <c r="DO38" s="3"/>
      <c r="DP38" s="511">
        <f t="shared" si="132"/>
        <v>0</v>
      </c>
      <c r="DQ38" s="512" t="str">
        <f t="shared" si="133"/>
        <v/>
      </c>
      <c r="DR38" s="511">
        <f t="shared" si="134"/>
        <v>25816.349999999995</v>
      </c>
      <c r="DS38" s="511">
        <f t="shared" si="135"/>
        <v>9412.58</v>
      </c>
      <c r="DT38" s="511">
        <f t="shared" si="136"/>
        <v>16403.769999999997</v>
      </c>
      <c r="DU38" s="512">
        <f t="shared" si="137"/>
        <v>2.7427495968161755</v>
      </c>
    </row>
    <row r="39" spans="1:125" x14ac:dyDescent="0.25">
      <c r="A39" s="2" t="s">
        <v>62</v>
      </c>
      <c r="B39" s="513">
        <f>((((B32)+(B35))+(B36))+(B37))+(B38)</f>
        <v>7741.0499999999993</v>
      </c>
      <c r="C39" s="513">
        <f>((((C32)+(C35))+(C36))+(C37))+(C38)</f>
        <v>0</v>
      </c>
      <c r="D39" s="513">
        <f t="shared" si="69"/>
        <v>7741.0499999999993</v>
      </c>
      <c r="E39" s="514" t="str">
        <f t="shared" si="70"/>
        <v/>
      </c>
      <c r="F39" s="513">
        <f>((((F32)+(F35))+(F36))+(F37))+(F38)</f>
        <v>47443.43</v>
      </c>
      <c r="G39" s="513">
        <f>((((G32)+(G35))+(G36))+(G37))+(G38)</f>
        <v>24700</v>
      </c>
      <c r="H39" s="513">
        <f t="shared" si="71"/>
        <v>22743.43</v>
      </c>
      <c r="I39" s="514">
        <f t="shared" si="72"/>
        <v>1.9207866396761133</v>
      </c>
      <c r="J39" s="513">
        <f>((((J32)+(J35))+(J36))+(J37))+(J38)</f>
        <v>7399.08</v>
      </c>
      <c r="K39" s="513">
        <f>((((K32)+(K35))+(K36))+(K37))+(K38)</f>
        <v>3643.5</v>
      </c>
      <c r="L39" s="513">
        <f t="shared" si="73"/>
        <v>3755.58</v>
      </c>
      <c r="M39" s="514">
        <f t="shared" si="74"/>
        <v>2.0307616303005354</v>
      </c>
      <c r="N39" s="513">
        <f>((((N32)+(N35))+(N36))+(N37))+(N38)</f>
        <v>0</v>
      </c>
      <c r="O39" s="513">
        <f>((((O32)+(O35))+(O36))+(O37))+(O38)</f>
        <v>0</v>
      </c>
      <c r="P39" s="513">
        <f t="shared" si="75"/>
        <v>0</v>
      </c>
      <c r="Q39" s="514" t="str">
        <f t="shared" si="76"/>
        <v/>
      </c>
      <c r="R39" s="513">
        <f>((((R32)+(R35))+(R36))+(R37))+(R38)</f>
        <v>2185.06</v>
      </c>
      <c r="S39" s="513">
        <f>((((S32)+(S35))+(S36))+(S37))+(S38)</f>
        <v>0</v>
      </c>
      <c r="T39" s="513">
        <f t="shared" si="77"/>
        <v>2185.06</v>
      </c>
      <c r="U39" s="514" t="str">
        <f t="shared" si="78"/>
        <v/>
      </c>
      <c r="V39" s="513">
        <f>((((V32)+(V35))+(V36))+(V37))+(V38)</f>
        <v>12482.189999999999</v>
      </c>
      <c r="W39" s="513">
        <f>((((W32)+(W35))+(W36))+(W37))+(W38)</f>
        <v>7020</v>
      </c>
      <c r="X39" s="513">
        <f t="shared" si="79"/>
        <v>5462.1899999999987</v>
      </c>
      <c r="Y39" s="514">
        <f t="shared" si="80"/>
        <v>1.7780897435897434</v>
      </c>
      <c r="Z39" s="513">
        <f>((((Z32)+(Z35))+(Z36))+(Z37))+(Z38)</f>
        <v>0</v>
      </c>
      <c r="AA39" s="513">
        <f>((((AA32)+(AA35))+(AA36))+(AA37))+(AA38)</f>
        <v>0</v>
      </c>
      <c r="AB39" s="513">
        <f t="shared" si="81"/>
        <v>0</v>
      </c>
      <c r="AC39" s="514" t="str">
        <f t="shared" si="82"/>
        <v/>
      </c>
      <c r="AD39" s="513">
        <f>((((AD32)+(AD35))+(AD36))+(AD37))+(AD38)</f>
        <v>0</v>
      </c>
      <c r="AE39" s="513">
        <f>((((AE32)+(AE35))+(AE36))+(AE37))+(AE38)</f>
        <v>0</v>
      </c>
      <c r="AF39" s="513">
        <f t="shared" si="83"/>
        <v>0</v>
      </c>
      <c r="AG39" s="514" t="str">
        <f t="shared" si="84"/>
        <v/>
      </c>
      <c r="AH39" s="513">
        <f>((((AH32)+(AH35))+(AH36))+(AH37))+(AH38)</f>
        <v>0</v>
      </c>
      <c r="AI39" s="513">
        <f>((((AI32)+(AI35))+(AI36))+(AI37))+(AI38)</f>
        <v>0</v>
      </c>
      <c r="AJ39" s="513">
        <f t="shared" si="85"/>
        <v>0</v>
      </c>
      <c r="AK39" s="514" t="str">
        <f t="shared" si="86"/>
        <v/>
      </c>
      <c r="AL39" s="513">
        <f>((((AL32)+(AL35))+(AL36))+(AL37))+(AL38)</f>
        <v>0</v>
      </c>
      <c r="AM39" s="513">
        <f>((((AM32)+(AM35))+(AM36))+(AM37))+(AM38)</f>
        <v>0</v>
      </c>
      <c r="AN39" s="513">
        <f t="shared" si="87"/>
        <v>0</v>
      </c>
      <c r="AO39" s="514" t="str">
        <f t="shared" si="88"/>
        <v/>
      </c>
      <c r="AP39" s="513">
        <f>((((AP32)+(AP35))+(AP36))+(AP37))+(AP38)</f>
        <v>0</v>
      </c>
      <c r="AQ39" s="513">
        <f>((((AQ32)+(AQ35))+(AQ36))+(AQ37))+(AQ38)</f>
        <v>0</v>
      </c>
      <c r="AR39" s="513">
        <f t="shared" si="89"/>
        <v>0</v>
      </c>
      <c r="AS39" s="514" t="str">
        <f t="shared" si="90"/>
        <v/>
      </c>
      <c r="AT39" s="513">
        <f>((((AT32)+(AT35))+(AT36))+(AT37))+(AT38)</f>
        <v>0</v>
      </c>
      <c r="AU39" s="513">
        <f>((((AU32)+(AU35))+(AU36))+(AU37))+(AU38)</f>
        <v>0</v>
      </c>
      <c r="AV39" s="513">
        <f t="shared" si="91"/>
        <v>0</v>
      </c>
      <c r="AW39" s="514" t="str">
        <f t="shared" si="92"/>
        <v/>
      </c>
      <c r="AX39" s="513">
        <f t="shared" si="93"/>
        <v>12482.189999999999</v>
      </c>
      <c r="AY39" s="513">
        <f t="shared" si="93"/>
        <v>7020</v>
      </c>
      <c r="AZ39" s="513">
        <f t="shared" si="94"/>
        <v>5462.1899999999987</v>
      </c>
      <c r="BA39" s="514">
        <f t="shared" si="95"/>
        <v>1.7780897435897434</v>
      </c>
      <c r="BB39" s="513">
        <f>((((BB32)+(BB35))+(BB36))+(BB37))+(BB38)</f>
        <v>3024.27</v>
      </c>
      <c r="BC39" s="513">
        <f>((((BC32)+(BC35))+(BC36))+(BC37))+(BC38)</f>
        <v>3748.58</v>
      </c>
      <c r="BD39" s="513">
        <f t="shared" si="96"/>
        <v>-724.31</v>
      </c>
      <c r="BE39" s="514">
        <f t="shared" si="97"/>
        <v>0.80677749974657076</v>
      </c>
      <c r="BF39" s="513">
        <f>((((BF32)+(BF35))+(BF36))+(BF37))+(BF38)</f>
        <v>0</v>
      </c>
      <c r="BG39" s="513">
        <f>((((BG32)+(BG35))+(BG36))+(BG37))+(BG38)</f>
        <v>0</v>
      </c>
      <c r="BH39" s="513">
        <f t="shared" si="98"/>
        <v>0</v>
      </c>
      <c r="BI39" s="514" t="str">
        <f t="shared" si="99"/>
        <v/>
      </c>
      <c r="BJ39" s="513">
        <f>((((BJ32)+(BJ35))+(BJ36))+(BJ37))+(BJ38)</f>
        <v>0</v>
      </c>
      <c r="BK39" s="513">
        <f>((((BK32)+(BK35))+(BK36))+(BK37))+(BK38)</f>
        <v>0</v>
      </c>
      <c r="BL39" s="513">
        <f t="shared" si="100"/>
        <v>0</v>
      </c>
      <c r="BM39" s="514" t="str">
        <f t="shared" si="101"/>
        <v/>
      </c>
      <c r="BN39" s="513">
        <f>((((BN32)+(BN35))+(BN36))+(BN37))+(BN38)</f>
        <v>0</v>
      </c>
      <c r="BO39" s="513">
        <f>((((BO32)+(BO35))+(BO36))+(BO37))+(BO38)</f>
        <v>0</v>
      </c>
      <c r="BP39" s="513">
        <f t="shared" si="102"/>
        <v>0</v>
      </c>
      <c r="BQ39" s="514" t="str">
        <f t="shared" si="103"/>
        <v/>
      </c>
      <c r="BR39" s="513">
        <f t="shared" si="104"/>
        <v>3024.27</v>
      </c>
      <c r="BS39" s="513">
        <f t="shared" si="104"/>
        <v>3748.58</v>
      </c>
      <c r="BT39" s="513">
        <f t="shared" si="105"/>
        <v>-724.31</v>
      </c>
      <c r="BU39" s="514">
        <f t="shared" si="106"/>
        <v>0.80677749974657076</v>
      </c>
      <c r="BV39" s="513">
        <f>((((BV32)+(BV35))+(BV36))+(BV37))+(BV38)</f>
        <v>2261.2399999999998</v>
      </c>
      <c r="BW39" s="513">
        <f>((((BW32)+(BW35))+(BW36))+(BW37))+(BW38)</f>
        <v>14523.14</v>
      </c>
      <c r="BX39" s="513">
        <f t="shared" si="107"/>
        <v>-12261.9</v>
      </c>
      <c r="BY39" s="514">
        <f t="shared" si="108"/>
        <v>0.15569911190004365</v>
      </c>
      <c r="BZ39" s="513">
        <f>((((BZ32)+(BZ35))+(BZ36))+(BZ37))+(BZ38)</f>
        <v>2026.0800000000002</v>
      </c>
      <c r="CA39" s="513">
        <f>((((CA32)+(CA35))+(CA36))+(CA37))+(CA38)</f>
        <v>2945</v>
      </c>
      <c r="CB39" s="513">
        <f t="shared" si="109"/>
        <v>-918.91999999999985</v>
      </c>
      <c r="CC39" s="514">
        <f t="shared" si="110"/>
        <v>0.6879728353140917</v>
      </c>
      <c r="CD39" s="513">
        <f>((((CD32)+(CD35))+(CD36))+(CD37))+(CD38)</f>
        <v>621.41</v>
      </c>
      <c r="CE39" s="513">
        <f>((((CE32)+(CE35))+(CE36))+(CE37))+(CE38)</f>
        <v>0</v>
      </c>
      <c r="CF39" s="513">
        <f t="shared" si="111"/>
        <v>621.41</v>
      </c>
      <c r="CG39" s="514" t="str">
        <f t="shared" si="112"/>
        <v/>
      </c>
      <c r="CH39" s="513">
        <f>((((CH32)+(CH35))+(CH36))+(CH37))+(CH38)</f>
        <v>32.64</v>
      </c>
      <c r="CI39" s="513">
        <f>((((CI32)+(CI35))+(CI36))+(CI37))+(CI38)</f>
        <v>0</v>
      </c>
      <c r="CJ39" s="513">
        <f t="shared" si="113"/>
        <v>32.64</v>
      </c>
      <c r="CK39" s="514" t="str">
        <f t="shared" si="114"/>
        <v/>
      </c>
      <c r="CL39" s="513">
        <f t="shared" si="115"/>
        <v>654.04999999999995</v>
      </c>
      <c r="CM39" s="513">
        <f t="shared" si="115"/>
        <v>0</v>
      </c>
      <c r="CN39" s="513">
        <f t="shared" si="116"/>
        <v>654.04999999999995</v>
      </c>
      <c r="CO39" s="514" t="str">
        <f t="shared" si="117"/>
        <v/>
      </c>
      <c r="CP39" s="513">
        <f>((((CP32)+(CP35))+(CP36))+(CP37))+(CP38)</f>
        <v>395.74</v>
      </c>
      <c r="CQ39" s="513">
        <f>((((CQ32)+(CQ35))+(CQ36))+(CQ37))+(CQ38)</f>
        <v>0</v>
      </c>
      <c r="CR39" s="513">
        <f t="shared" si="118"/>
        <v>395.74</v>
      </c>
      <c r="CS39" s="514" t="str">
        <f t="shared" si="119"/>
        <v/>
      </c>
      <c r="CT39" s="513">
        <f>((((CT32)+(CT35))+(CT36))+(CT37))+(CT38)</f>
        <v>576.72</v>
      </c>
      <c r="CU39" s="513">
        <f>((((CU32)+(CU35))+(CU36))+(CU37))+(CU38)</f>
        <v>3200.5</v>
      </c>
      <c r="CV39" s="513">
        <f t="shared" si="120"/>
        <v>-2623.7799999999997</v>
      </c>
      <c r="CW39" s="514">
        <f t="shared" si="121"/>
        <v>0.18019684424308702</v>
      </c>
      <c r="CX39" s="513">
        <f t="shared" si="122"/>
        <v>972.46</v>
      </c>
      <c r="CY39" s="513">
        <f t="shared" si="122"/>
        <v>3200.5</v>
      </c>
      <c r="CZ39" s="513">
        <f t="shared" si="123"/>
        <v>-2228.04</v>
      </c>
      <c r="DA39" s="514">
        <f t="shared" si="124"/>
        <v>0.30384627401968445</v>
      </c>
      <c r="DB39" s="513">
        <f>((((DB32)+(DB35))+(DB36))+(DB37))+(DB38)</f>
        <v>163.04</v>
      </c>
      <c r="DC39" s="513">
        <f>((((DC32)+(DC35))+(DC36))+(DC37))+(DC38)</f>
        <v>0</v>
      </c>
      <c r="DD39" s="513">
        <f t="shared" si="125"/>
        <v>163.04</v>
      </c>
      <c r="DE39" s="514" t="str">
        <f t="shared" si="126"/>
        <v/>
      </c>
      <c r="DF39" s="513">
        <f>((((DF32)+(DF35))+(DF36))+(DF37))+(DF38)</f>
        <v>0</v>
      </c>
      <c r="DG39" s="513">
        <f>((((DG32)+(DG35))+(DG36))+(DG37))+(DG38)</f>
        <v>0</v>
      </c>
      <c r="DH39" s="513">
        <f t="shared" si="127"/>
        <v>0</v>
      </c>
      <c r="DI39" s="514" t="str">
        <f t="shared" si="128"/>
        <v/>
      </c>
      <c r="DJ39" s="513">
        <f t="shared" si="129"/>
        <v>163.04</v>
      </c>
      <c r="DK39" s="513">
        <f t="shared" si="129"/>
        <v>0</v>
      </c>
      <c r="DL39" s="513">
        <f t="shared" si="130"/>
        <v>163.04</v>
      </c>
      <c r="DM39" s="514" t="str">
        <f t="shared" si="131"/>
        <v/>
      </c>
      <c r="DN39" s="513">
        <f>((((DN32)+(DN35))+(DN36))+(DN37))+(DN38)</f>
        <v>0</v>
      </c>
      <c r="DO39" s="513">
        <f>((((DO32)+(DO35))+(DO36))+(DO37))+(DO38)</f>
        <v>0</v>
      </c>
      <c r="DP39" s="513">
        <f t="shared" si="132"/>
        <v>0</v>
      </c>
      <c r="DQ39" s="514" t="str">
        <f t="shared" si="133"/>
        <v/>
      </c>
      <c r="DR39" s="513">
        <f t="shared" si="134"/>
        <v>86351.950000000012</v>
      </c>
      <c r="DS39" s="513">
        <f t="shared" si="135"/>
        <v>59780.72</v>
      </c>
      <c r="DT39" s="513">
        <f t="shared" si="136"/>
        <v>26571.23000000001</v>
      </c>
      <c r="DU39" s="514">
        <f t="shared" si="137"/>
        <v>1.4444782531893228</v>
      </c>
    </row>
    <row r="40" spans="1:125" x14ac:dyDescent="0.25">
      <c r="A40" s="2" t="s">
        <v>875</v>
      </c>
      <c r="B40" s="3"/>
      <c r="C40" s="3"/>
      <c r="D40" s="511">
        <f t="shared" si="69"/>
        <v>0</v>
      </c>
      <c r="E40" s="512" t="str">
        <f t="shared" si="70"/>
        <v/>
      </c>
      <c r="F40" s="3"/>
      <c r="G40" s="3"/>
      <c r="H40" s="511">
        <f t="shared" si="71"/>
        <v>0</v>
      </c>
      <c r="I40" s="512" t="str">
        <f t="shared" si="72"/>
        <v/>
      </c>
      <c r="J40" s="3"/>
      <c r="K40" s="3"/>
      <c r="L40" s="511">
        <f t="shared" si="73"/>
        <v>0</v>
      </c>
      <c r="M40" s="512" t="str">
        <f t="shared" si="74"/>
        <v/>
      </c>
      <c r="N40" s="3"/>
      <c r="O40" s="3"/>
      <c r="P40" s="511">
        <f t="shared" si="75"/>
        <v>0</v>
      </c>
      <c r="Q40" s="512" t="str">
        <f t="shared" si="76"/>
        <v/>
      </c>
      <c r="R40" s="3"/>
      <c r="S40" s="3"/>
      <c r="T40" s="511">
        <f t="shared" si="77"/>
        <v>0</v>
      </c>
      <c r="U40" s="512" t="str">
        <f t="shared" si="78"/>
        <v/>
      </c>
      <c r="V40" s="3"/>
      <c r="W40" s="3"/>
      <c r="X40" s="511">
        <f t="shared" si="79"/>
        <v>0</v>
      </c>
      <c r="Y40" s="512" t="str">
        <f t="shared" si="80"/>
        <v/>
      </c>
      <c r="Z40" s="3"/>
      <c r="AA40" s="3"/>
      <c r="AB40" s="511">
        <f t="shared" si="81"/>
        <v>0</v>
      </c>
      <c r="AC40" s="512" t="str">
        <f t="shared" si="82"/>
        <v/>
      </c>
      <c r="AD40" s="3"/>
      <c r="AE40" s="3"/>
      <c r="AF40" s="511">
        <f t="shared" si="83"/>
        <v>0</v>
      </c>
      <c r="AG40" s="512" t="str">
        <f t="shared" si="84"/>
        <v/>
      </c>
      <c r="AH40" s="3"/>
      <c r="AI40" s="3"/>
      <c r="AJ40" s="511">
        <f t="shared" si="85"/>
        <v>0</v>
      </c>
      <c r="AK40" s="512" t="str">
        <f t="shared" si="86"/>
        <v/>
      </c>
      <c r="AL40" s="3"/>
      <c r="AM40" s="3"/>
      <c r="AN40" s="511">
        <f t="shared" si="87"/>
        <v>0</v>
      </c>
      <c r="AO40" s="512" t="str">
        <f t="shared" si="88"/>
        <v/>
      </c>
      <c r="AP40" s="3"/>
      <c r="AQ40" s="3"/>
      <c r="AR40" s="511">
        <f t="shared" si="89"/>
        <v>0</v>
      </c>
      <c r="AS40" s="512" t="str">
        <f t="shared" si="90"/>
        <v/>
      </c>
      <c r="AT40" s="3"/>
      <c r="AU40" s="3"/>
      <c r="AV40" s="511">
        <f t="shared" si="91"/>
        <v>0</v>
      </c>
      <c r="AW40" s="512" t="str">
        <f t="shared" si="92"/>
        <v/>
      </c>
      <c r="AX40" s="511">
        <f t="shared" si="93"/>
        <v>0</v>
      </c>
      <c r="AY40" s="511">
        <f t="shared" si="93"/>
        <v>0</v>
      </c>
      <c r="AZ40" s="511">
        <f t="shared" si="94"/>
        <v>0</v>
      </c>
      <c r="BA40" s="512" t="str">
        <f t="shared" si="95"/>
        <v/>
      </c>
      <c r="BB40" s="3"/>
      <c r="BC40" s="3"/>
      <c r="BD40" s="511">
        <f t="shared" si="96"/>
        <v>0</v>
      </c>
      <c r="BE40" s="512" t="str">
        <f t="shared" si="97"/>
        <v/>
      </c>
      <c r="BF40" s="3"/>
      <c r="BG40" s="3"/>
      <c r="BH40" s="511">
        <f t="shared" si="98"/>
        <v>0</v>
      </c>
      <c r="BI40" s="512" t="str">
        <f t="shared" si="99"/>
        <v/>
      </c>
      <c r="BJ40" s="3"/>
      <c r="BK40" s="3"/>
      <c r="BL40" s="511">
        <f t="shared" si="100"/>
        <v>0</v>
      </c>
      <c r="BM40" s="512" t="str">
        <f t="shared" si="101"/>
        <v/>
      </c>
      <c r="BN40" s="3"/>
      <c r="BO40" s="3"/>
      <c r="BP40" s="511">
        <f t="shared" si="102"/>
        <v>0</v>
      </c>
      <c r="BQ40" s="512" t="str">
        <f t="shared" si="103"/>
        <v/>
      </c>
      <c r="BR40" s="511">
        <f t="shared" si="104"/>
        <v>0</v>
      </c>
      <c r="BS40" s="511">
        <f t="shared" si="104"/>
        <v>0</v>
      </c>
      <c r="BT40" s="511">
        <f t="shared" si="105"/>
        <v>0</v>
      </c>
      <c r="BU40" s="512" t="str">
        <f t="shared" si="106"/>
        <v/>
      </c>
      <c r="BV40" s="3"/>
      <c r="BW40" s="3"/>
      <c r="BX40" s="511">
        <f t="shared" si="107"/>
        <v>0</v>
      </c>
      <c r="BY40" s="512" t="str">
        <f t="shared" si="108"/>
        <v/>
      </c>
      <c r="BZ40" s="3"/>
      <c r="CA40" s="3"/>
      <c r="CB40" s="511">
        <f t="shared" si="109"/>
        <v>0</v>
      </c>
      <c r="CC40" s="512" t="str">
        <f t="shared" si="110"/>
        <v/>
      </c>
      <c r="CD40" s="3"/>
      <c r="CE40" s="3"/>
      <c r="CF40" s="511">
        <f t="shared" si="111"/>
        <v>0</v>
      </c>
      <c r="CG40" s="512" t="str">
        <f t="shared" si="112"/>
        <v/>
      </c>
      <c r="CH40" s="3"/>
      <c r="CI40" s="3"/>
      <c r="CJ40" s="511">
        <f t="shared" si="113"/>
        <v>0</v>
      </c>
      <c r="CK40" s="512" t="str">
        <f t="shared" si="114"/>
        <v/>
      </c>
      <c r="CL40" s="511">
        <f t="shared" si="115"/>
        <v>0</v>
      </c>
      <c r="CM40" s="511">
        <f t="shared" si="115"/>
        <v>0</v>
      </c>
      <c r="CN40" s="511">
        <f t="shared" si="116"/>
        <v>0</v>
      </c>
      <c r="CO40" s="512" t="str">
        <f t="shared" si="117"/>
        <v/>
      </c>
      <c r="CP40" s="3"/>
      <c r="CQ40" s="3"/>
      <c r="CR40" s="511">
        <f t="shared" si="118"/>
        <v>0</v>
      </c>
      <c r="CS40" s="512" t="str">
        <f t="shared" si="119"/>
        <v/>
      </c>
      <c r="CT40" s="3"/>
      <c r="CU40" s="3"/>
      <c r="CV40" s="511">
        <f t="shared" si="120"/>
        <v>0</v>
      </c>
      <c r="CW40" s="512" t="str">
        <f t="shared" si="121"/>
        <v/>
      </c>
      <c r="CX40" s="511">
        <f t="shared" si="122"/>
        <v>0</v>
      </c>
      <c r="CY40" s="511">
        <f t="shared" si="122"/>
        <v>0</v>
      </c>
      <c r="CZ40" s="511">
        <f t="shared" si="123"/>
        <v>0</v>
      </c>
      <c r="DA40" s="512" t="str">
        <f t="shared" si="124"/>
        <v/>
      </c>
      <c r="DB40" s="3"/>
      <c r="DC40" s="3"/>
      <c r="DD40" s="511">
        <f t="shared" si="125"/>
        <v>0</v>
      </c>
      <c r="DE40" s="512" t="str">
        <f t="shared" si="126"/>
        <v/>
      </c>
      <c r="DF40" s="3"/>
      <c r="DG40" s="3"/>
      <c r="DH40" s="511">
        <f t="shared" si="127"/>
        <v>0</v>
      </c>
      <c r="DI40" s="512" t="str">
        <f t="shared" si="128"/>
        <v/>
      </c>
      <c r="DJ40" s="511">
        <f t="shared" si="129"/>
        <v>0</v>
      </c>
      <c r="DK40" s="511">
        <f t="shared" si="129"/>
        <v>0</v>
      </c>
      <c r="DL40" s="511">
        <f t="shared" si="130"/>
        <v>0</v>
      </c>
      <c r="DM40" s="512" t="str">
        <f t="shared" si="131"/>
        <v/>
      </c>
      <c r="DN40" s="3"/>
      <c r="DO40" s="3"/>
      <c r="DP40" s="511">
        <f t="shared" si="132"/>
        <v>0</v>
      </c>
      <c r="DQ40" s="512" t="str">
        <f t="shared" si="133"/>
        <v/>
      </c>
      <c r="DR40" s="511">
        <f t="shared" si="134"/>
        <v>0</v>
      </c>
      <c r="DS40" s="511">
        <f t="shared" si="135"/>
        <v>0</v>
      </c>
      <c r="DT40" s="511">
        <f t="shared" si="136"/>
        <v>0</v>
      </c>
      <c r="DU40" s="512" t="str">
        <f t="shared" si="137"/>
        <v/>
      </c>
    </row>
    <row r="41" spans="1:125" x14ac:dyDescent="0.25">
      <c r="A41" s="2" t="s">
        <v>876</v>
      </c>
      <c r="B41" s="3"/>
      <c r="C41" s="3"/>
      <c r="D41" s="511">
        <f t="shared" si="69"/>
        <v>0</v>
      </c>
      <c r="E41" s="512" t="str">
        <f t="shared" si="70"/>
        <v/>
      </c>
      <c r="F41" s="511">
        <f>6110</f>
        <v>6110</v>
      </c>
      <c r="G41" s="511">
        <f>14600</f>
        <v>14600</v>
      </c>
      <c r="H41" s="511">
        <f t="shared" si="71"/>
        <v>-8490</v>
      </c>
      <c r="I41" s="512">
        <f t="shared" si="72"/>
        <v>0.41849315068493148</v>
      </c>
      <c r="J41" s="3"/>
      <c r="K41" s="3"/>
      <c r="L41" s="511">
        <f t="shared" si="73"/>
        <v>0</v>
      </c>
      <c r="M41" s="512" t="str">
        <f t="shared" si="74"/>
        <v/>
      </c>
      <c r="N41" s="3"/>
      <c r="O41" s="3"/>
      <c r="P41" s="511">
        <f t="shared" si="75"/>
        <v>0</v>
      </c>
      <c r="Q41" s="512" t="str">
        <f t="shared" si="76"/>
        <v/>
      </c>
      <c r="R41" s="3"/>
      <c r="S41" s="3"/>
      <c r="T41" s="511">
        <f t="shared" si="77"/>
        <v>0</v>
      </c>
      <c r="U41" s="512" t="str">
        <f t="shared" si="78"/>
        <v/>
      </c>
      <c r="V41" s="3"/>
      <c r="W41" s="3"/>
      <c r="X41" s="511">
        <f t="shared" si="79"/>
        <v>0</v>
      </c>
      <c r="Y41" s="512" t="str">
        <f t="shared" si="80"/>
        <v/>
      </c>
      <c r="Z41" s="3"/>
      <c r="AA41" s="3"/>
      <c r="AB41" s="511">
        <f t="shared" si="81"/>
        <v>0</v>
      </c>
      <c r="AC41" s="512" t="str">
        <f t="shared" si="82"/>
        <v/>
      </c>
      <c r="AD41" s="3"/>
      <c r="AE41" s="3"/>
      <c r="AF41" s="511">
        <f t="shared" si="83"/>
        <v>0</v>
      </c>
      <c r="AG41" s="512" t="str">
        <f t="shared" si="84"/>
        <v/>
      </c>
      <c r="AH41" s="3"/>
      <c r="AI41" s="3"/>
      <c r="AJ41" s="511">
        <f t="shared" si="85"/>
        <v>0</v>
      </c>
      <c r="AK41" s="512" t="str">
        <f t="shared" si="86"/>
        <v/>
      </c>
      <c r="AL41" s="3"/>
      <c r="AM41" s="3"/>
      <c r="AN41" s="511">
        <f t="shared" si="87"/>
        <v>0</v>
      </c>
      <c r="AO41" s="512" t="str">
        <f t="shared" si="88"/>
        <v/>
      </c>
      <c r="AP41" s="3"/>
      <c r="AQ41" s="3"/>
      <c r="AR41" s="511">
        <f t="shared" si="89"/>
        <v>0</v>
      </c>
      <c r="AS41" s="512" t="str">
        <f t="shared" si="90"/>
        <v/>
      </c>
      <c r="AT41" s="3"/>
      <c r="AU41" s="3"/>
      <c r="AV41" s="511">
        <f t="shared" si="91"/>
        <v>0</v>
      </c>
      <c r="AW41" s="512" t="str">
        <f t="shared" si="92"/>
        <v/>
      </c>
      <c r="AX41" s="511">
        <f t="shared" si="93"/>
        <v>0</v>
      </c>
      <c r="AY41" s="511">
        <f t="shared" si="93"/>
        <v>0</v>
      </c>
      <c r="AZ41" s="511">
        <f t="shared" si="94"/>
        <v>0</v>
      </c>
      <c r="BA41" s="512" t="str">
        <f t="shared" si="95"/>
        <v/>
      </c>
      <c r="BB41" s="3"/>
      <c r="BC41" s="3"/>
      <c r="BD41" s="511">
        <f t="shared" si="96"/>
        <v>0</v>
      </c>
      <c r="BE41" s="512" t="str">
        <f t="shared" si="97"/>
        <v/>
      </c>
      <c r="BF41" s="3"/>
      <c r="BG41" s="3"/>
      <c r="BH41" s="511">
        <f t="shared" si="98"/>
        <v>0</v>
      </c>
      <c r="BI41" s="512" t="str">
        <f t="shared" si="99"/>
        <v/>
      </c>
      <c r="BJ41" s="3"/>
      <c r="BK41" s="3"/>
      <c r="BL41" s="511">
        <f t="shared" si="100"/>
        <v>0</v>
      </c>
      <c r="BM41" s="512" t="str">
        <f t="shared" si="101"/>
        <v/>
      </c>
      <c r="BN41" s="3"/>
      <c r="BO41" s="3"/>
      <c r="BP41" s="511">
        <f t="shared" si="102"/>
        <v>0</v>
      </c>
      <c r="BQ41" s="512" t="str">
        <f t="shared" si="103"/>
        <v/>
      </c>
      <c r="BR41" s="511">
        <f t="shared" si="104"/>
        <v>0</v>
      </c>
      <c r="BS41" s="511">
        <f t="shared" si="104"/>
        <v>0</v>
      </c>
      <c r="BT41" s="511">
        <f t="shared" si="105"/>
        <v>0</v>
      </c>
      <c r="BU41" s="512" t="str">
        <f t="shared" si="106"/>
        <v/>
      </c>
      <c r="BV41" s="3"/>
      <c r="BW41" s="3"/>
      <c r="BX41" s="511">
        <f t="shared" si="107"/>
        <v>0</v>
      </c>
      <c r="BY41" s="512" t="str">
        <f t="shared" si="108"/>
        <v/>
      </c>
      <c r="BZ41" s="3"/>
      <c r="CA41" s="3"/>
      <c r="CB41" s="511">
        <f t="shared" si="109"/>
        <v>0</v>
      </c>
      <c r="CC41" s="512" t="str">
        <f t="shared" si="110"/>
        <v/>
      </c>
      <c r="CD41" s="3"/>
      <c r="CE41" s="3"/>
      <c r="CF41" s="511">
        <f t="shared" si="111"/>
        <v>0</v>
      </c>
      <c r="CG41" s="512" t="str">
        <f t="shared" si="112"/>
        <v/>
      </c>
      <c r="CH41" s="3"/>
      <c r="CI41" s="3"/>
      <c r="CJ41" s="511">
        <f t="shared" si="113"/>
        <v>0</v>
      </c>
      <c r="CK41" s="512" t="str">
        <f t="shared" si="114"/>
        <v/>
      </c>
      <c r="CL41" s="511">
        <f t="shared" si="115"/>
        <v>0</v>
      </c>
      <c r="CM41" s="511">
        <f t="shared" si="115"/>
        <v>0</v>
      </c>
      <c r="CN41" s="511">
        <f t="shared" si="116"/>
        <v>0</v>
      </c>
      <c r="CO41" s="512" t="str">
        <f t="shared" si="117"/>
        <v/>
      </c>
      <c r="CP41" s="3"/>
      <c r="CQ41" s="3"/>
      <c r="CR41" s="511">
        <f t="shared" si="118"/>
        <v>0</v>
      </c>
      <c r="CS41" s="512" t="str">
        <f t="shared" si="119"/>
        <v/>
      </c>
      <c r="CT41" s="3"/>
      <c r="CU41" s="3"/>
      <c r="CV41" s="511">
        <f t="shared" si="120"/>
        <v>0</v>
      </c>
      <c r="CW41" s="512" t="str">
        <f t="shared" si="121"/>
        <v/>
      </c>
      <c r="CX41" s="511">
        <f t="shared" si="122"/>
        <v>0</v>
      </c>
      <c r="CY41" s="511">
        <f t="shared" si="122"/>
        <v>0</v>
      </c>
      <c r="CZ41" s="511">
        <f t="shared" si="123"/>
        <v>0</v>
      </c>
      <c r="DA41" s="512" t="str">
        <f t="shared" si="124"/>
        <v/>
      </c>
      <c r="DB41" s="3"/>
      <c r="DC41" s="3"/>
      <c r="DD41" s="511">
        <f t="shared" si="125"/>
        <v>0</v>
      </c>
      <c r="DE41" s="512" t="str">
        <f t="shared" si="126"/>
        <v/>
      </c>
      <c r="DF41" s="3"/>
      <c r="DG41" s="3"/>
      <c r="DH41" s="511">
        <f t="shared" si="127"/>
        <v>0</v>
      </c>
      <c r="DI41" s="512" t="str">
        <f t="shared" si="128"/>
        <v/>
      </c>
      <c r="DJ41" s="511">
        <f t="shared" si="129"/>
        <v>0</v>
      </c>
      <c r="DK41" s="511">
        <f t="shared" si="129"/>
        <v>0</v>
      </c>
      <c r="DL41" s="511">
        <f t="shared" si="130"/>
        <v>0</v>
      </c>
      <c r="DM41" s="512" t="str">
        <f t="shared" si="131"/>
        <v/>
      </c>
      <c r="DN41" s="3"/>
      <c r="DO41" s="3"/>
      <c r="DP41" s="511">
        <f t="shared" si="132"/>
        <v>0</v>
      </c>
      <c r="DQ41" s="512" t="str">
        <f t="shared" si="133"/>
        <v/>
      </c>
      <c r="DR41" s="511">
        <f t="shared" si="134"/>
        <v>6110</v>
      </c>
      <c r="DS41" s="511">
        <f t="shared" si="135"/>
        <v>14600</v>
      </c>
      <c r="DT41" s="511">
        <f t="shared" si="136"/>
        <v>-8490</v>
      </c>
      <c r="DU41" s="512">
        <f t="shared" si="137"/>
        <v>0.41849315068493148</v>
      </c>
    </row>
    <row r="42" spans="1:125" x14ac:dyDescent="0.25">
      <c r="A42" s="2" t="s">
        <v>877</v>
      </c>
      <c r="B42" s="3"/>
      <c r="C42" s="3"/>
      <c r="D42" s="511">
        <f t="shared" si="69"/>
        <v>0</v>
      </c>
      <c r="E42" s="512" t="str">
        <f t="shared" si="70"/>
        <v/>
      </c>
      <c r="F42" s="511">
        <f>7890</f>
        <v>7890</v>
      </c>
      <c r="G42" s="511">
        <f>8000</f>
        <v>8000</v>
      </c>
      <c r="H42" s="511">
        <f t="shared" si="71"/>
        <v>-110</v>
      </c>
      <c r="I42" s="512">
        <f t="shared" si="72"/>
        <v>0.98624999999999996</v>
      </c>
      <c r="J42" s="3"/>
      <c r="K42" s="3"/>
      <c r="L42" s="511">
        <f t="shared" si="73"/>
        <v>0</v>
      </c>
      <c r="M42" s="512" t="str">
        <f t="shared" si="74"/>
        <v/>
      </c>
      <c r="N42" s="3"/>
      <c r="O42" s="3"/>
      <c r="P42" s="511">
        <f t="shared" si="75"/>
        <v>0</v>
      </c>
      <c r="Q42" s="512" t="str">
        <f t="shared" si="76"/>
        <v/>
      </c>
      <c r="R42" s="3"/>
      <c r="S42" s="3"/>
      <c r="T42" s="511">
        <f t="shared" si="77"/>
        <v>0</v>
      </c>
      <c r="U42" s="512" t="str">
        <f t="shared" si="78"/>
        <v/>
      </c>
      <c r="V42" s="3"/>
      <c r="W42" s="3"/>
      <c r="X42" s="511">
        <f t="shared" si="79"/>
        <v>0</v>
      </c>
      <c r="Y42" s="512" t="str">
        <f t="shared" si="80"/>
        <v/>
      </c>
      <c r="Z42" s="3"/>
      <c r="AA42" s="3"/>
      <c r="AB42" s="511">
        <f t="shared" si="81"/>
        <v>0</v>
      </c>
      <c r="AC42" s="512" t="str">
        <f t="shared" si="82"/>
        <v/>
      </c>
      <c r="AD42" s="3"/>
      <c r="AE42" s="3"/>
      <c r="AF42" s="511">
        <f t="shared" si="83"/>
        <v>0</v>
      </c>
      <c r="AG42" s="512" t="str">
        <f t="shared" si="84"/>
        <v/>
      </c>
      <c r="AH42" s="3"/>
      <c r="AI42" s="3"/>
      <c r="AJ42" s="511">
        <f t="shared" si="85"/>
        <v>0</v>
      </c>
      <c r="AK42" s="512" t="str">
        <f t="shared" si="86"/>
        <v/>
      </c>
      <c r="AL42" s="3"/>
      <c r="AM42" s="3"/>
      <c r="AN42" s="511">
        <f t="shared" si="87"/>
        <v>0</v>
      </c>
      <c r="AO42" s="512" t="str">
        <f t="shared" si="88"/>
        <v/>
      </c>
      <c r="AP42" s="3"/>
      <c r="AQ42" s="3"/>
      <c r="AR42" s="511">
        <f t="shared" si="89"/>
        <v>0</v>
      </c>
      <c r="AS42" s="512" t="str">
        <f t="shared" si="90"/>
        <v/>
      </c>
      <c r="AT42" s="3"/>
      <c r="AU42" s="3"/>
      <c r="AV42" s="511">
        <f t="shared" si="91"/>
        <v>0</v>
      </c>
      <c r="AW42" s="512" t="str">
        <f t="shared" si="92"/>
        <v/>
      </c>
      <c r="AX42" s="511">
        <f t="shared" si="93"/>
        <v>0</v>
      </c>
      <c r="AY42" s="511">
        <f t="shared" si="93"/>
        <v>0</v>
      </c>
      <c r="AZ42" s="511">
        <f t="shared" si="94"/>
        <v>0</v>
      </c>
      <c r="BA42" s="512" t="str">
        <f t="shared" si="95"/>
        <v/>
      </c>
      <c r="BB42" s="3"/>
      <c r="BC42" s="3"/>
      <c r="BD42" s="511">
        <f t="shared" si="96"/>
        <v>0</v>
      </c>
      <c r="BE42" s="512" t="str">
        <f t="shared" si="97"/>
        <v/>
      </c>
      <c r="BF42" s="3"/>
      <c r="BG42" s="3"/>
      <c r="BH42" s="511">
        <f t="shared" si="98"/>
        <v>0</v>
      </c>
      <c r="BI42" s="512" t="str">
        <f t="shared" si="99"/>
        <v/>
      </c>
      <c r="BJ42" s="3"/>
      <c r="BK42" s="3"/>
      <c r="BL42" s="511">
        <f t="shared" si="100"/>
        <v>0</v>
      </c>
      <c r="BM42" s="512" t="str">
        <f t="shared" si="101"/>
        <v/>
      </c>
      <c r="BN42" s="3"/>
      <c r="BO42" s="3"/>
      <c r="BP42" s="511">
        <f t="shared" si="102"/>
        <v>0</v>
      </c>
      <c r="BQ42" s="512" t="str">
        <f t="shared" si="103"/>
        <v/>
      </c>
      <c r="BR42" s="511">
        <f t="shared" si="104"/>
        <v>0</v>
      </c>
      <c r="BS42" s="511">
        <f t="shared" si="104"/>
        <v>0</v>
      </c>
      <c r="BT42" s="511">
        <f t="shared" si="105"/>
        <v>0</v>
      </c>
      <c r="BU42" s="512" t="str">
        <f t="shared" si="106"/>
        <v/>
      </c>
      <c r="BV42" s="3"/>
      <c r="BW42" s="3"/>
      <c r="BX42" s="511">
        <f t="shared" si="107"/>
        <v>0</v>
      </c>
      <c r="BY42" s="512" t="str">
        <f t="shared" si="108"/>
        <v/>
      </c>
      <c r="BZ42" s="3"/>
      <c r="CA42" s="3"/>
      <c r="CB42" s="511">
        <f t="shared" si="109"/>
        <v>0</v>
      </c>
      <c r="CC42" s="512" t="str">
        <f t="shared" si="110"/>
        <v/>
      </c>
      <c r="CD42" s="3"/>
      <c r="CE42" s="3"/>
      <c r="CF42" s="511">
        <f t="shared" si="111"/>
        <v>0</v>
      </c>
      <c r="CG42" s="512" t="str">
        <f t="shared" si="112"/>
        <v/>
      </c>
      <c r="CH42" s="3"/>
      <c r="CI42" s="3"/>
      <c r="CJ42" s="511">
        <f t="shared" si="113"/>
        <v>0</v>
      </c>
      <c r="CK42" s="512" t="str">
        <f t="shared" si="114"/>
        <v/>
      </c>
      <c r="CL42" s="511">
        <f t="shared" si="115"/>
        <v>0</v>
      </c>
      <c r="CM42" s="511">
        <f t="shared" si="115"/>
        <v>0</v>
      </c>
      <c r="CN42" s="511">
        <f t="shared" si="116"/>
        <v>0</v>
      </c>
      <c r="CO42" s="512" t="str">
        <f t="shared" si="117"/>
        <v/>
      </c>
      <c r="CP42" s="3"/>
      <c r="CQ42" s="3"/>
      <c r="CR42" s="511">
        <f t="shared" si="118"/>
        <v>0</v>
      </c>
      <c r="CS42" s="512" t="str">
        <f t="shared" si="119"/>
        <v/>
      </c>
      <c r="CT42" s="3"/>
      <c r="CU42" s="3"/>
      <c r="CV42" s="511">
        <f t="shared" si="120"/>
        <v>0</v>
      </c>
      <c r="CW42" s="512" t="str">
        <f t="shared" si="121"/>
        <v/>
      </c>
      <c r="CX42" s="511">
        <f t="shared" si="122"/>
        <v>0</v>
      </c>
      <c r="CY42" s="511">
        <f t="shared" si="122"/>
        <v>0</v>
      </c>
      <c r="CZ42" s="511">
        <f t="shared" si="123"/>
        <v>0</v>
      </c>
      <c r="DA42" s="512" t="str">
        <f t="shared" si="124"/>
        <v/>
      </c>
      <c r="DB42" s="3"/>
      <c r="DC42" s="3"/>
      <c r="DD42" s="511">
        <f t="shared" si="125"/>
        <v>0</v>
      </c>
      <c r="DE42" s="512" t="str">
        <f t="shared" si="126"/>
        <v/>
      </c>
      <c r="DF42" s="3"/>
      <c r="DG42" s="3"/>
      <c r="DH42" s="511">
        <f t="shared" si="127"/>
        <v>0</v>
      </c>
      <c r="DI42" s="512" t="str">
        <f t="shared" si="128"/>
        <v/>
      </c>
      <c r="DJ42" s="511">
        <f t="shared" si="129"/>
        <v>0</v>
      </c>
      <c r="DK42" s="511">
        <f t="shared" si="129"/>
        <v>0</v>
      </c>
      <c r="DL42" s="511">
        <f t="shared" si="130"/>
        <v>0</v>
      </c>
      <c r="DM42" s="512" t="str">
        <f t="shared" si="131"/>
        <v/>
      </c>
      <c r="DN42" s="3"/>
      <c r="DO42" s="3"/>
      <c r="DP42" s="511">
        <f t="shared" si="132"/>
        <v>0</v>
      </c>
      <c r="DQ42" s="512" t="str">
        <f t="shared" si="133"/>
        <v/>
      </c>
      <c r="DR42" s="511">
        <f t="shared" si="134"/>
        <v>7890</v>
      </c>
      <c r="DS42" s="511">
        <f t="shared" si="135"/>
        <v>8000</v>
      </c>
      <c r="DT42" s="511">
        <f t="shared" si="136"/>
        <v>-110</v>
      </c>
      <c r="DU42" s="512">
        <f t="shared" si="137"/>
        <v>0.98624999999999996</v>
      </c>
    </row>
    <row r="43" spans="1:125" x14ac:dyDescent="0.25">
      <c r="A43" s="2" t="s">
        <v>878</v>
      </c>
      <c r="B43" s="3"/>
      <c r="C43" s="3"/>
      <c r="D43" s="511">
        <f t="shared" si="69"/>
        <v>0</v>
      </c>
      <c r="E43" s="512" t="str">
        <f t="shared" si="70"/>
        <v/>
      </c>
      <c r="F43" s="511">
        <f>110915</f>
        <v>110915</v>
      </c>
      <c r="G43" s="511">
        <f>96000</f>
        <v>96000</v>
      </c>
      <c r="H43" s="511">
        <f t="shared" si="71"/>
        <v>14915</v>
      </c>
      <c r="I43" s="512">
        <f t="shared" si="72"/>
        <v>1.1553645833333333</v>
      </c>
      <c r="J43" s="3"/>
      <c r="K43" s="3"/>
      <c r="L43" s="511">
        <f t="shared" si="73"/>
        <v>0</v>
      </c>
      <c r="M43" s="512" t="str">
        <f t="shared" si="74"/>
        <v/>
      </c>
      <c r="N43" s="3"/>
      <c r="O43" s="3"/>
      <c r="P43" s="511">
        <f t="shared" si="75"/>
        <v>0</v>
      </c>
      <c r="Q43" s="512" t="str">
        <f t="shared" si="76"/>
        <v/>
      </c>
      <c r="R43" s="3"/>
      <c r="S43" s="3"/>
      <c r="T43" s="511">
        <f t="shared" si="77"/>
        <v>0</v>
      </c>
      <c r="U43" s="512" t="str">
        <f t="shared" si="78"/>
        <v/>
      </c>
      <c r="V43" s="3"/>
      <c r="W43" s="3"/>
      <c r="X43" s="511">
        <f t="shared" si="79"/>
        <v>0</v>
      </c>
      <c r="Y43" s="512" t="str">
        <f t="shared" si="80"/>
        <v/>
      </c>
      <c r="Z43" s="3"/>
      <c r="AA43" s="3"/>
      <c r="AB43" s="511">
        <f t="shared" si="81"/>
        <v>0</v>
      </c>
      <c r="AC43" s="512" t="str">
        <f t="shared" si="82"/>
        <v/>
      </c>
      <c r="AD43" s="3"/>
      <c r="AE43" s="3"/>
      <c r="AF43" s="511">
        <f t="shared" si="83"/>
        <v>0</v>
      </c>
      <c r="AG43" s="512" t="str">
        <f t="shared" si="84"/>
        <v/>
      </c>
      <c r="AH43" s="3"/>
      <c r="AI43" s="3"/>
      <c r="AJ43" s="511">
        <f t="shared" si="85"/>
        <v>0</v>
      </c>
      <c r="AK43" s="512" t="str">
        <f t="shared" si="86"/>
        <v/>
      </c>
      <c r="AL43" s="3"/>
      <c r="AM43" s="3"/>
      <c r="AN43" s="511">
        <f t="shared" si="87"/>
        <v>0</v>
      </c>
      <c r="AO43" s="512" t="str">
        <f t="shared" si="88"/>
        <v/>
      </c>
      <c r="AP43" s="3"/>
      <c r="AQ43" s="3"/>
      <c r="AR43" s="511">
        <f t="shared" si="89"/>
        <v>0</v>
      </c>
      <c r="AS43" s="512" t="str">
        <f t="shared" si="90"/>
        <v/>
      </c>
      <c r="AT43" s="3"/>
      <c r="AU43" s="3"/>
      <c r="AV43" s="511">
        <f t="shared" si="91"/>
        <v>0</v>
      </c>
      <c r="AW43" s="512" t="str">
        <f t="shared" si="92"/>
        <v/>
      </c>
      <c r="AX43" s="511">
        <f t="shared" si="93"/>
        <v>0</v>
      </c>
      <c r="AY43" s="511">
        <f t="shared" si="93"/>
        <v>0</v>
      </c>
      <c r="AZ43" s="511">
        <f t="shared" si="94"/>
        <v>0</v>
      </c>
      <c r="BA43" s="512" t="str">
        <f t="shared" si="95"/>
        <v/>
      </c>
      <c r="BB43" s="3"/>
      <c r="BC43" s="3"/>
      <c r="BD43" s="511">
        <f t="shared" si="96"/>
        <v>0</v>
      </c>
      <c r="BE43" s="512" t="str">
        <f t="shared" si="97"/>
        <v/>
      </c>
      <c r="BF43" s="3"/>
      <c r="BG43" s="3"/>
      <c r="BH43" s="511">
        <f t="shared" si="98"/>
        <v>0</v>
      </c>
      <c r="BI43" s="512" t="str">
        <f t="shared" si="99"/>
        <v/>
      </c>
      <c r="BJ43" s="3"/>
      <c r="BK43" s="3"/>
      <c r="BL43" s="511">
        <f t="shared" si="100"/>
        <v>0</v>
      </c>
      <c r="BM43" s="512" t="str">
        <f t="shared" si="101"/>
        <v/>
      </c>
      <c r="BN43" s="3"/>
      <c r="BO43" s="3"/>
      <c r="BP43" s="511">
        <f t="shared" si="102"/>
        <v>0</v>
      </c>
      <c r="BQ43" s="512" t="str">
        <f t="shared" si="103"/>
        <v/>
      </c>
      <c r="BR43" s="511">
        <f t="shared" si="104"/>
        <v>0</v>
      </c>
      <c r="BS43" s="511">
        <f t="shared" si="104"/>
        <v>0</v>
      </c>
      <c r="BT43" s="511">
        <f t="shared" si="105"/>
        <v>0</v>
      </c>
      <c r="BU43" s="512" t="str">
        <f t="shared" si="106"/>
        <v/>
      </c>
      <c r="BV43" s="3"/>
      <c r="BW43" s="3"/>
      <c r="BX43" s="511">
        <f t="shared" si="107"/>
        <v>0</v>
      </c>
      <c r="BY43" s="512" t="str">
        <f t="shared" si="108"/>
        <v/>
      </c>
      <c r="BZ43" s="3"/>
      <c r="CA43" s="3"/>
      <c r="CB43" s="511">
        <f t="shared" si="109"/>
        <v>0</v>
      </c>
      <c r="CC43" s="512" t="str">
        <f t="shared" si="110"/>
        <v/>
      </c>
      <c r="CD43" s="3"/>
      <c r="CE43" s="3"/>
      <c r="CF43" s="511">
        <f t="shared" si="111"/>
        <v>0</v>
      </c>
      <c r="CG43" s="512" t="str">
        <f t="shared" si="112"/>
        <v/>
      </c>
      <c r="CH43" s="3"/>
      <c r="CI43" s="3"/>
      <c r="CJ43" s="511">
        <f t="shared" si="113"/>
        <v>0</v>
      </c>
      <c r="CK43" s="512" t="str">
        <f t="shared" si="114"/>
        <v/>
      </c>
      <c r="CL43" s="511">
        <f t="shared" si="115"/>
        <v>0</v>
      </c>
      <c r="CM43" s="511">
        <f t="shared" si="115"/>
        <v>0</v>
      </c>
      <c r="CN43" s="511">
        <f t="shared" si="116"/>
        <v>0</v>
      </c>
      <c r="CO43" s="512" t="str">
        <f t="shared" si="117"/>
        <v/>
      </c>
      <c r="CP43" s="3"/>
      <c r="CQ43" s="3"/>
      <c r="CR43" s="511">
        <f t="shared" si="118"/>
        <v>0</v>
      </c>
      <c r="CS43" s="512" t="str">
        <f t="shared" si="119"/>
        <v/>
      </c>
      <c r="CT43" s="3"/>
      <c r="CU43" s="3"/>
      <c r="CV43" s="511">
        <f t="shared" si="120"/>
        <v>0</v>
      </c>
      <c r="CW43" s="512" t="str">
        <f t="shared" si="121"/>
        <v/>
      </c>
      <c r="CX43" s="511">
        <f t="shared" si="122"/>
        <v>0</v>
      </c>
      <c r="CY43" s="511">
        <f t="shared" si="122"/>
        <v>0</v>
      </c>
      <c r="CZ43" s="511">
        <f t="shared" si="123"/>
        <v>0</v>
      </c>
      <c r="DA43" s="512" t="str">
        <f t="shared" si="124"/>
        <v/>
      </c>
      <c r="DB43" s="3"/>
      <c r="DC43" s="3"/>
      <c r="DD43" s="511">
        <f t="shared" si="125"/>
        <v>0</v>
      </c>
      <c r="DE43" s="512" t="str">
        <f t="shared" si="126"/>
        <v/>
      </c>
      <c r="DF43" s="3"/>
      <c r="DG43" s="3"/>
      <c r="DH43" s="511">
        <f t="shared" si="127"/>
        <v>0</v>
      </c>
      <c r="DI43" s="512" t="str">
        <f t="shared" si="128"/>
        <v/>
      </c>
      <c r="DJ43" s="511">
        <f t="shared" si="129"/>
        <v>0</v>
      </c>
      <c r="DK43" s="511">
        <f t="shared" si="129"/>
        <v>0</v>
      </c>
      <c r="DL43" s="511">
        <f t="shared" si="130"/>
        <v>0</v>
      </c>
      <c r="DM43" s="512" t="str">
        <f t="shared" si="131"/>
        <v/>
      </c>
      <c r="DN43" s="3"/>
      <c r="DO43" s="3"/>
      <c r="DP43" s="511">
        <f t="shared" si="132"/>
        <v>0</v>
      </c>
      <c r="DQ43" s="512" t="str">
        <f t="shared" si="133"/>
        <v/>
      </c>
      <c r="DR43" s="511">
        <f t="shared" si="134"/>
        <v>110915</v>
      </c>
      <c r="DS43" s="511">
        <f t="shared" si="135"/>
        <v>96000</v>
      </c>
      <c r="DT43" s="511">
        <f t="shared" si="136"/>
        <v>14915</v>
      </c>
      <c r="DU43" s="512">
        <f t="shared" si="137"/>
        <v>1.1553645833333333</v>
      </c>
    </row>
    <row r="44" spans="1:125" x14ac:dyDescent="0.25">
      <c r="A44" s="2" t="s">
        <v>879</v>
      </c>
      <c r="B44" s="3"/>
      <c r="C44" s="3"/>
      <c r="D44" s="511">
        <f t="shared" si="69"/>
        <v>0</v>
      </c>
      <c r="E44" s="512" t="str">
        <f t="shared" si="70"/>
        <v/>
      </c>
      <c r="F44" s="511">
        <f>1490</f>
        <v>1490</v>
      </c>
      <c r="G44" s="511">
        <f>1150</f>
        <v>1150</v>
      </c>
      <c r="H44" s="511">
        <f t="shared" si="71"/>
        <v>340</v>
      </c>
      <c r="I44" s="512">
        <f t="shared" si="72"/>
        <v>1.2956521739130435</v>
      </c>
      <c r="J44" s="3"/>
      <c r="K44" s="3"/>
      <c r="L44" s="511">
        <f t="shared" si="73"/>
        <v>0</v>
      </c>
      <c r="M44" s="512" t="str">
        <f t="shared" si="74"/>
        <v/>
      </c>
      <c r="N44" s="3"/>
      <c r="O44" s="3"/>
      <c r="P44" s="511">
        <f t="shared" si="75"/>
        <v>0</v>
      </c>
      <c r="Q44" s="512" t="str">
        <f t="shared" si="76"/>
        <v/>
      </c>
      <c r="R44" s="3"/>
      <c r="S44" s="3"/>
      <c r="T44" s="511">
        <f t="shared" si="77"/>
        <v>0</v>
      </c>
      <c r="U44" s="512" t="str">
        <f t="shared" si="78"/>
        <v/>
      </c>
      <c r="V44" s="3"/>
      <c r="W44" s="3"/>
      <c r="X44" s="511">
        <f t="shared" si="79"/>
        <v>0</v>
      </c>
      <c r="Y44" s="512" t="str">
        <f t="shared" si="80"/>
        <v/>
      </c>
      <c r="Z44" s="3"/>
      <c r="AA44" s="3"/>
      <c r="AB44" s="511">
        <f t="shared" si="81"/>
        <v>0</v>
      </c>
      <c r="AC44" s="512" t="str">
        <f t="shared" si="82"/>
        <v/>
      </c>
      <c r="AD44" s="3"/>
      <c r="AE44" s="3"/>
      <c r="AF44" s="511">
        <f t="shared" si="83"/>
        <v>0</v>
      </c>
      <c r="AG44" s="512" t="str">
        <f t="shared" si="84"/>
        <v/>
      </c>
      <c r="AH44" s="3"/>
      <c r="AI44" s="3"/>
      <c r="AJ44" s="511">
        <f t="shared" si="85"/>
        <v>0</v>
      </c>
      <c r="AK44" s="512" t="str">
        <f t="shared" si="86"/>
        <v/>
      </c>
      <c r="AL44" s="3"/>
      <c r="AM44" s="3"/>
      <c r="AN44" s="511">
        <f t="shared" si="87"/>
        <v>0</v>
      </c>
      <c r="AO44" s="512" t="str">
        <f t="shared" si="88"/>
        <v/>
      </c>
      <c r="AP44" s="3"/>
      <c r="AQ44" s="3"/>
      <c r="AR44" s="511">
        <f t="shared" si="89"/>
        <v>0</v>
      </c>
      <c r="AS44" s="512" t="str">
        <f t="shared" si="90"/>
        <v/>
      </c>
      <c r="AT44" s="3"/>
      <c r="AU44" s="3"/>
      <c r="AV44" s="511">
        <f t="shared" si="91"/>
        <v>0</v>
      </c>
      <c r="AW44" s="512" t="str">
        <f t="shared" si="92"/>
        <v/>
      </c>
      <c r="AX44" s="511">
        <f t="shared" si="93"/>
        <v>0</v>
      </c>
      <c r="AY44" s="511">
        <f t="shared" si="93"/>
        <v>0</v>
      </c>
      <c r="AZ44" s="511">
        <f t="shared" si="94"/>
        <v>0</v>
      </c>
      <c r="BA44" s="512" t="str">
        <f t="shared" si="95"/>
        <v/>
      </c>
      <c r="BB44" s="3"/>
      <c r="BC44" s="3"/>
      <c r="BD44" s="511">
        <f t="shared" si="96"/>
        <v>0</v>
      </c>
      <c r="BE44" s="512" t="str">
        <f t="shared" si="97"/>
        <v/>
      </c>
      <c r="BF44" s="3"/>
      <c r="BG44" s="3"/>
      <c r="BH44" s="511">
        <f t="shared" si="98"/>
        <v>0</v>
      </c>
      <c r="BI44" s="512" t="str">
        <f t="shared" si="99"/>
        <v/>
      </c>
      <c r="BJ44" s="3"/>
      <c r="BK44" s="3"/>
      <c r="BL44" s="511">
        <f t="shared" si="100"/>
        <v>0</v>
      </c>
      <c r="BM44" s="512" t="str">
        <f t="shared" si="101"/>
        <v/>
      </c>
      <c r="BN44" s="3"/>
      <c r="BO44" s="3"/>
      <c r="BP44" s="511">
        <f t="shared" si="102"/>
        <v>0</v>
      </c>
      <c r="BQ44" s="512" t="str">
        <f t="shared" si="103"/>
        <v/>
      </c>
      <c r="BR44" s="511">
        <f t="shared" si="104"/>
        <v>0</v>
      </c>
      <c r="BS44" s="511">
        <f t="shared" si="104"/>
        <v>0</v>
      </c>
      <c r="BT44" s="511">
        <f t="shared" si="105"/>
        <v>0</v>
      </c>
      <c r="BU44" s="512" t="str">
        <f t="shared" si="106"/>
        <v/>
      </c>
      <c r="BV44" s="3"/>
      <c r="BW44" s="3"/>
      <c r="BX44" s="511">
        <f t="shared" si="107"/>
        <v>0</v>
      </c>
      <c r="BY44" s="512" t="str">
        <f t="shared" si="108"/>
        <v/>
      </c>
      <c r="BZ44" s="3"/>
      <c r="CA44" s="3"/>
      <c r="CB44" s="511">
        <f t="shared" si="109"/>
        <v>0</v>
      </c>
      <c r="CC44" s="512" t="str">
        <f t="shared" si="110"/>
        <v/>
      </c>
      <c r="CD44" s="3"/>
      <c r="CE44" s="3"/>
      <c r="CF44" s="511">
        <f t="shared" si="111"/>
        <v>0</v>
      </c>
      <c r="CG44" s="512" t="str">
        <f t="shared" si="112"/>
        <v/>
      </c>
      <c r="CH44" s="3"/>
      <c r="CI44" s="3"/>
      <c r="CJ44" s="511">
        <f t="shared" si="113"/>
        <v>0</v>
      </c>
      <c r="CK44" s="512" t="str">
        <f t="shared" si="114"/>
        <v/>
      </c>
      <c r="CL44" s="511">
        <f t="shared" si="115"/>
        <v>0</v>
      </c>
      <c r="CM44" s="511">
        <f t="shared" si="115"/>
        <v>0</v>
      </c>
      <c r="CN44" s="511">
        <f t="shared" si="116"/>
        <v>0</v>
      </c>
      <c r="CO44" s="512" t="str">
        <f t="shared" si="117"/>
        <v/>
      </c>
      <c r="CP44" s="3"/>
      <c r="CQ44" s="3"/>
      <c r="CR44" s="511">
        <f t="shared" si="118"/>
        <v>0</v>
      </c>
      <c r="CS44" s="512" t="str">
        <f t="shared" si="119"/>
        <v/>
      </c>
      <c r="CT44" s="3"/>
      <c r="CU44" s="3"/>
      <c r="CV44" s="511">
        <f t="shared" si="120"/>
        <v>0</v>
      </c>
      <c r="CW44" s="512" t="str">
        <f t="shared" si="121"/>
        <v/>
      </c>
      <c r="CX44" s="511">
        <f t="shared" si="122"/>
        <v>0</v>
      </c>
      <c r="CY44" s="511">
        <f t="shared" si="122"/>
        <v>0</v>
      </c>
      <c r="CZ44" s="511">
        <f t="shared" si="123"/>
        <v>0</v>
      </c>
      <c r="DA44" s="512" t="str">
        <f t="shared" si="124"/>
        <v/>
      </c>
      <c r="DB44" s="3"/>
      <c r="DC44" s="3"/>
      <c r="DD44" s="511">
        <f t="shared" si="125"/>
        <v>0</v>
      </c>
      <c r="DE44" s="512" t="str">
        <f t="shared" si="126"/>
        <v/>
      </c>
      <c r="DF44" s="3"/>
      <c r="DG44" s="3"/>
      <c r="DH44" s="511">
        <f t="shared" si="127"/>
        <v>0</v>
      </c>
      <c r="DI44" s="512" t="str">
        <f t="shared" si="128"/>
        <v/>
      </c>
      <c r="DJ44" s="511">
        <f t="shared" si="129"/>
        <v>0</v>
      </c>
      <c r="DK44" s="511">
        <f t="shared" si="129"/>
        <v>0</v>
      </c>
      <c r="DL44" s="511">
        <f t="shared" si="130"/>
        <v>0</v>
      </c>
      <c r="DM44" s="512" t="str">
        <f t="shared" si="131"/>
        <v/>
      </c>
      <c r="DN44" s="3"/>
      <c r="DO44" s="3"/>
      <c r="DP44" s="511">
        <f t="shared" si="132"/>
        <v>0</v>
      </c>
      <c r="DQ44" s="512" t="str">
        <f t="shared" si="133"/>
        <v/>
      </c>
      <c r="DR44" s="511">
        <f t="shared" si="134"/>
        <v>1490</v>
      </c>
      <c r="DS44" s="511">
        <f t="shared" si="135"/>
        <v>1150</v>
      </c>
      <c r="DT44" s="511">
        <f t="shared" si="136"/>
        <v>340</v>
      </c>
      <c r="DU44" s="512">
        <f t="shared" si="137"/>
        <v>1.2956521739130435</v>
      </c>
    </row>
    <row r="45" spans="1:125" x14ac:dyDescent="0.25">
      <c r="A45" s="2" t="s">
        <v>880</v>
      </c>
      <c r="B45" s="513">
        <f>((((B40)+(B41))+(B42))+(B43))+(B44)</f>
        <v>0</v>
      </c>
      <c r="C45" s="513">
        <f>((((C40)+(C41))+(C42))+(C43))+(C44)</f>
        <v>0</v>
      </c>
      <c r="D45" s="513">
        <f t="shared" si="69"/>
        <v>0</v>
      </c>
      <c r="E45" s="514" t="str">
        <f t="shared" si="70"/>
        <v/>
      </c>
      <c r="F45" s="513">
        <f>((((F40)+(F41))+(F42))+(F43))+(F44)</f>
        <v>126405</v>
      </c>
      <c r="G45" s="513">
        <f>((((G40)+(G41))+(G42))+(G43))+(G44)</f>
        <v>119750</v>
      </c>
      <c r="H45" s="513">
        <f t="shared" si="71"/>
        <v>6655</v>
      </c>
      <c r="I45" s="514">
        <f t="shared" si="72"/>
        <v>1.0555741127348643</v>
      </c>
      <c r="J45" s="513">
        <f>((((J40)+(J41))+(J42))+(J43))+(J44)</f>
        <v>0</v>
      </c>
      <c r="K45" s="513">
        <f>((((K40)+(K41))+(K42))+(K43))+(K44)</f>
        <v>0</v>
      </c>
      <c r="L45" s="513">
        <f t="shared" si="73"/>
        <v>0</v>
      </c>
      <c r="M45" s="514" t="str">
        <f t="shared" si="74"/>
        <v/>
      </c>
      <c r="N45" s="513">
        <f>((((N40)+(N41))+(N42))+(N43))+(N44)</f>
        <v>0</v>
      </c>
      <c r="O45" s="513">
        <f>((((O40)+(O41))+(O42))+(O43))+(O44)</f>
        <v>0</v>
      </c>
      <c r="P45" s="513">
        <f t="shared" si="75"/>
        <v>0</v>
      </c>
      <c r="Q45" s="514" t="str">
        <f t="shared" si="76"/>
        <v/>
      </c>
      <c r="R45" s="513">
        <f>((((R40)+(R41))+(R42))+(R43))+(R44)</f>
        <v>0</v>
      </c>
      <c r="S45" s="513">
        <f>((((S40)+(S41))+(S42))+(S43))+(S44)</f>
        <v>0</v>
      </c>
      <c r="T45" s="513">
        <f t="shared" si="77"/>
        <v>0</v>
      </c>
      <c r="U45" s="514" t="str">
        <f t="shared" si="78"/>
        <v/>
      </c>
      <c r="V45" s="513">
        <f>((((V40)+(V41))+(V42))+(V43))+(V44)</f>
        <v>0</v>
      </c>
      <c r="W45" s="513">
        <f>((((W40)+(W41))+(W42))+(W43))+(W44)</f>
        <v>0</v>
      </c>
      <c r="X45" s="513">
        <f t="shared" si="79"/>
        <v>0</v>
      </c>
      <c r="Y45" s="514" t="str">
        <f t="shared" si="80"/>
        <v/>
      </c>
      <c r="Z45" s="513">
        <f>((((Z40)+(Z41))+(Z42))+(Z43))+(Z44)</f>
        <v>0</v>
      </c>
      <c r="AA45" s="513">
        <f>((((AA40)+(AA41))+(AA42))+(AA43))+(AA44)</f>
        <v>0</v>
      </c>
      <c r="AB45" s="513">
        <f t="shared" si="81"/>
        <v>0</v>
      </c>
      <c r="AC45" s="514" t="str">
        <f t="shared" si="82"/>
        <v/>
      </c>
      <c r="AD45" s="513">
        <f>((((AD40)+(AD41))+(AD42))+(AD43))+(AD44)</f>
        <v>0</v>
      </c>
      <c r="AE45" s="513">
        <f>((((AE40)+(AE41))+(AE42))+(AE43))+(AE44)</f>
        <v>0</v>
      </c>
      <c r="AF45" s="513">
        <f t="shared" si="83"/>
        <v>0</v>
      </c>
      <c r="AG45" s="514" t="str">
        <f t="shared" si="84"/>
        <v/>
      </c>
      <c r="AH45" s="513">
        <f>((((AH40)+(AH41))+(AH42))+(AH43))+(AH44)</f>
        <v>0</v>
      </c>
      <c r="AI45" s="513">
        <f>((((AI40)+(AI41))+(AI42))+(AI43))+(AI44)</f>
        <v>0</v>
      </c>
      <c r="AJ45" s="513">
        <f t="shared" si="85"/>
        <v>0</v>
      </c>
      <c r="AK45" s="514" t="str">
        <f t="shared" si="86"/>
        <v/>
      </c>
      <c r="AL45" s="513">
        <f>((((AL40)+(AL41))+(AL42))+(AL43))+(AL44)</f>
        <v>0</v>
      </c>
      <c r="AM45" s="513">
        <f>((((AM40)+(AM41))+(AM42))+(AM43))+(AM44)</f>
        <v>0</v>
      </c>
      <c r="AN45" s="513">
        <f t="shared" si="87"/>
        <v>0</v>
      </c>
      <c r="AO45" s="514" t="str">
        <f t="shared" si="88"/>
        <v/>
      </c>
      <c r="AP45" s="513">
        <f>((((AP40)+(AP41))+(AP42))+(AP43))+(AP44)</f>
        <v>0</v>
      </c>
      <c r="AQ45" s="513">
        <f>((((AQ40)+(AQ41))+(AQ42))+(AQ43))+(AQ44)</f>
        <v>0</v>
      </c>
      <c r="AR45" s="513">
        <f t="shared" si="89"/>
        <v>0</v>
      </c>
      <c r="AS45" s="514" t="str">
        <f t="shared" si="90"/>
        <v/>
      </c>
      <c r="AT45" s="513">
        <f>((((AT40)+(AT41))+(AT42))+(AT43))+(AT44)</f>
        <v>0</v>
      </c>
      <c r="AU45" s="513">
        <f>((((AU40)+(AU41))+(AU42))+(AU43))+(AU44)</f>
        <v>0</v>
      </c>
      <c r="AV45" s="513">
        <f t="shared" si="91"/>
        <v>0</v>
      </c>
      <c r="AW45" s="514" t="str">
        <f t="shared" si="92"/>
        <v/>
      </c>
      <c r="AX45" s="513">
        <f t="shared" si="93"/>
        <v>0</v>
      </c>
      <c r="AY45" s="513">
        <f t="shared" si="93"/>
        <v>0</v>
      </c>
      <c r="AZ45" s="513">
        <f t="shared" si="94"/>
        <v>0</v>
      </c>
      <c r="BA45" s="514" t="str">
        <f t="shared" si="95"/>
        <v/>
      </c>
      <c r="BB45" s="513">
        <f>((((BB40)+(BB41))+(BB42))+(BB43))+(BB44)</f>
        <v>0</v>
      </c>
      <c r="BC45" s="513">
        <f>((((BC40)+(BC41))+(BC42))+(BC43))+(BC44)</f>
        <v>0</v>
      </c>
      <c r="BD45" s="513">
        <f t="shared" si="96"/>
        <v>0</v>
      </c>
      <c r="BE45" s="514" t="str">
        <f t="shared" si="97"/>
        <v/>
      </c>
      <c r="BF45" s="513">
        <f>((((BF40)+(BF41))+(BF42))+(BF43))+(BF44)</f>
        <v>0</v>
      </c>
      <c r="BG45" s="513">
        <f>((((BG40)+(BG41))+(BG42))+(BG43))+(BG44)</f>
        <v>0</v>
      </c>
      <c r="BH45" s="513">
        <f t="shared" si="98"/>
        <v>0</v>
      </c>
      <c r="BI45" s="514" t="str">
        <f t="shared" si="99"/>
        <v/>
      </c>
      <c r="BJ45" s="513">
        <f>((((BJ40)+(BJ41))+(BJ42))+(BJ43))+(BJ44)</f>
        <v>0</v>
      </c>
      <c r="BK45" s="513">
        <f>((((BK40)+(BK41))+(BK42))+(BK43))+(BK44)</f>
        <v>0</v>
      </c>
      <c r="BL45" s="513">
        <f t="shared" si="100"/>
        <v>0</v>
      </c>
      <c r="BM45" s="514" t="str">
        <f t="shared" si="101"/>
        <v/>
      </c>
      <c r="BN45" s="513">
        <f>((((BN40)+(BN41))+(BN42))+(BN43))+(BN44)</f>
        <v>0</v>
      </c>
      <c r="BO45" s="513">
        <f>((((BO40)+(BO41))+(BO42))+(BO43))+(BO44)</f>
        <v>0</v>
      </c>
      <c r="BP45" s="513">
        <f t="shared" si="102"/>
        <v>0</v>
      </c>
      <c r="BQ45" s="514" t="str">
        <f t="shared" si="103"/>
        <v/>
      </c>
      <c r="BR45" s="513">
        <f t="shared" si="104"/>
        <v>0</v>
      </c>
      <c r="BS45" s="513">
        <f t="shared" si="104"/>
        <v>0</v>
      </c>
      <c r="BT45" s="513">
        <f t="shared" si="105"/>
        <v>0</v>
      </c>
      <c r="BU45" s="514" t="str">
        <f t="shared" si="106"/>
        <v/>
      </c>
      <c r="BV45" s="513">
        <f>((((BV40)+(BV41))+(BV42))+(BV43))+(BV44)</f>
        <v>0</v>
      </c>
      <c r="BW45" s="513">
        <f>((((BW40)+(BW41))+(BW42))+(BW43))+(BW44)</f>
        <v>0</v>
      </c>
      <c r="BX45" s="513">
        <f t="shared" si="107"/>
        <v>0</v>
      </c>
      <c r="BY45" s="514" t="str">
        <f t="shared" si="108"/>
        <v/>
      </c>
      <c r="BZ45" s="513">
        <f>((((BZ40)+(BZ41))+(BZ42))+(BZ43))+(BZ44)</f>
        <v>0</v>
      </c>
      <c r="CA45" s="513">
        <f>((((CA40)+(CA41))+(CA42))+(CA43))+(CA44)</f>
        <v>0</v>
      </c>
      <c r="CB45" s="513">
        <f t="shared" si="109"/>
        <v>0</v>
      </c>
      <c r="CC45" s="514" t="str">
        <f t="shared" si="110"/>
        <v/>
      </c>
      <c r="CD45" s="513">
        <f>((((CD40)+(CD41))+(CD42))+(CD43))+(CD44)</f>
        <v>0</v>
      </c>
      <c r="CE45" s="513">
        <f>((((CE40)+(CE41))+(CE42))+(CE43))+(CE44)</f>
        <v>0</v>
      </c>
      <c r="CF45" s="513">
        <f t="shared" si="111"/>
        <v>0</v>
      </c>
      <c r="CG45" s="514" t="str">
        <f t="shared" si="112"/>
        <v/>
      </c>
      <c r="CH45" s="513">
        <f>((((CH40)+(CH41))+(CH42))+(CH43))+(CH44)</f>
        <v>0</v>
      </c>
      <c r="CI45" s="513">
        <f>((((CI40)+(CI41))+(CI42))+(CI43))+(CI44)</f>
        <v>0</v>
      </c>
      <c r="CJ45" s="513">
        <f t="shared" si="113"/>
        <v>0</v>
      </c>
      <c r="CK45" s="514" t="str">
        <f t="shared" si="114"/>
        <v/>
      </c>
      <c r="CL45" s="513">
        <f t="shared" si="115"/>
        <v>0</v>
      </c>
      <c r="CM45" s="513">
        <f t="shared" si="115"/>
        <v>0</v>
      </c>
      <c r="CN45" s="513">
        <f t="shared" si="116"/>
        <v>0</v>
      </c>
      <c r="CO45" s="514" t="str">
        <f t="shared" si="117"/>
        <v/>
      </c>
      <c r="CP45" s="513">
        <f>((((CP40)+(CP41))+(CP42))+(CP43))+(CP44)</f>
        <v>0</v>
      </c>
      <c r="CQ45" s="513">
        <f>((((CQ40)+(CQ41))+(CQ42))+(CQ43))+(CQ44)</f>
        <v>0</v>
      </c>
      <c r="CR45" s="513">
        <f t="shared" si="118"/>
        <v>0</v>
      </c>
      <c r="CS45" s="514" t="str">
        <f t="shared" si="119"/>
        <v/>
      </c>
      <c r="CT45" s="513">
        <f>((((CT40)+(CT41))+(CT42))+(CT43))+(CT44)</f>
        <v>0</v>
      </c>
      <c r="CU45" s="513">
        <f>((((CU40)+(CU41))+(CU42))+(CU43))+(CU44)</f>
        <v>0</v>
      </c>
      <c r="CV45" s="513">
        <f t="shared" si="120"/>
        <v>0</v>
      </c>
      <c r="CW45" s="514" t="str">
        <f t="shared" si="121"/>
        <v/>
      </c>
      <c r="CX45" s="513">
        <f t="shared" si="122"/>
        <v>0</v>
      </c>
      <c r="CY45" s="513">
        <f t="shared" si="122"/>
        <v>0</v>
      </c>
      <c r="CZ45" s="513">
        <f t="shared" si="123"/>
        <v>0</v>
      </c>
      <c r="DA45" s="514" t="str">
        <f t="shared" si="124"/>
        <v/>
      </c>
      <c r="DB45" s="513">
        <f>((((DB40)+(DB41))+(DB42))+(DB43))+(DB44)</f>
        <v>0</v>
      </c>
      <c r="DC45" s="513">
        <f>((((DC40)+(DC41))+(DC42))+(DC43))+(DC44)</f>
        <v>0</v>
      </c>
      <c r="DD45" s="513">
        <f t="shared" si="125"/>
        <v>0</v>
      </c>
      <c r="DE45" s="514" t="str">
        <f t="shared" si="126"/>
        <v/>
      </c>
      <c r="DF45" s="513">
        <f>((((DF40)+(DF41))+(DF42))+(DF43))+(DF44)</f>
        <v>0</v>
      </c>
      <c r="DG45" s="513">
        <f>((((DG40)+(DG41))+(DG42))+(DG43))+(DG44)</f>
        <v>0</v>
      </c>
      <c r="DH45" s="513">
        <f t="shared" si="127"/>
        <v>0</v>
      </c>
      <c r="DI45" s="514" t="str">
        <f t="shared" si="128"/>
        <v/>
      </c>
      <c r="DJ45" s="513">
        <f t="shared" si="129"/>
        <v>0</v>
      </c>
      <c r="DK45" s="513">
        <f t="shared" si="129"/>
        <v>0</v>
      </c>
      <c r="DL45" s="513">
        <f t="shared" si="130"/>
        <v>0</v>
      </c>
      <c r="DM45" s="514" t="str">
        <f t="shared" si="131"/>
        <v/>
      </c>
      <c r="DN45" s="513">
        <f>((((DN40)+(DN41))+(DN42))+(DN43))+(DN44)</f>
        <v>0</v>
      </c>
      <c r="DO45" s="513">
        <f>((((DO40)+(DO41))+(DO42))+(DO43))+(DO44)</f>
        <v>0</v>
      </c>
      <c r="DP45" s="513">
        <f t="shared" si="132"/>
        <v>0</v>
      </c>
      <c r="DQ45" s="514" t="str">
        <f t="shared" si="133"/>
        <v/>
      </c>
      <c r="DR45" s="513">
        <f t="shared" si="134"/>
        <v>126405</v>
      </c>
      <c r="DS45" s="513">
        <f t="shared" si="135"/>
        <v>119750</v>
      </c>
      <c r="DT45" s="513">
        <f t="shared" si="136"/>
        <v>6655</v>
      </c>
      <c r="DU45" s="514">
        <f t="shared" si="137"/>
        <v>1.0555741127348643</v>
      </c>
    </row>
    <row r="46" spans="1:125" x14ac:dyDescent="0.25">
      <c r="A46" s="2" t="s">
        <v>881</v>
      </c>
      <c r="B46" s="511">
        <f>37.63</f>
        <v>37.630000000000003</v>
      </c>
      <c r="C46" s="3"/>
      <c r="D46" s="511">
        <f t="shared" si="69"/>
        <v>37.630000000000003</v>
      </c>
      <c r="E46" s="512" t="str">
        <f t="shared" si="70"/>
        <v/>
      </c>
      <c r="F46" s="3"/>
      <c r="G46" s="511">
        <f>2500</f>
        <v>2500</v>
      </c>
      <c r="H46" s="511">
        <f t="shared" si="71"/>
        <v>-2500</v>
      </c>
      <c r="I46" s="512">
        <f t="shared" si="72"/>
        <v>0</v>
      </c>
      <c r="J46" s="511">
        <f>15.66</f>
        <v>15.66</v>
      </c>
      <c r="K46" s="3"/>
      <c r="L46" s="511">
        <f t="shared" si="73"/>
        <v>15.66</v>
      </c>
      <c r="M46" s="512" t="str">
        <f t="shared" si="74"/>
        <v/>
      </c>
      <c r="N46" s="3"/>
      <c r="O46" s="3"/>
      <c r="P46" s="511">
        <f t="shared" si="75"/>
        <v>0</v>
      </c>
      <c r="Q46" s="512" t="str">
        <f t="shared" si="76"/>
        <v/>
      </c>
      <c r="R46" s="511">
        <f>25.08</f>
        <v>25.08</v>
      </c>
      <c r="S46" s="3"/>
      <c r="T46" s="511">
        <f t="shared" si="77"/>
        <v>25.08</v>
      </c>
      <c r="U46" s="512" t="str">
        <f t="shared" si="78"/>
        <v/>
      </c>
      <c r="V46" s="511">
        <f>25.08</f>
        <v>25.08</v>
      </c>
      <c r="W46" s="511">
        <f>3500</f>
        <v>3500</v>
      </c>
      <c r="X46" s="511">
        <f t="shared" si="79"/>
        <v>-3474.92</v>
      </c>
      <c r="Y46" s="512">
        <f t="shared" si="80"/>
        <v>7.1657142857142848E-3</v>
      </c>
      <c r="Z46" s="3"/>
      <c r="AA46" s="3"/>
      <c r="AB46" s="511">
        <f t="shared" si="81"/>
        <v>0</v>
      </c>
      <c r="AC46" s="512" t="str">
        <f t="shared" si="82"/>
        <v/>
      </c>
      <c r="AD46" s="3"/>
      <c r="AE46" s="3"/>
      <c r="AF46" s="511">
        <f t="shared" si="83"/>
        <v>0</v>
      </c>
      <c r="AG46" s="512" t="str">
        <f t="shared" si="84"/>
        <v/>
      </c>
      <c r="AH46" s="3"/>
      <c r="AI46" s="3"/>
      <c r="AJ46" s="511">
        <f t="shared" si="85"/>
        <v>0</v>
      </c>
      <c r="AK46" s="512" t="str">
        <f t="shared" si="86"/>
        <v/>
      </c>
      <c r="AL46" s="3"/>
      <c r="AM46" s="3"/>
      <c r="AN46" s="511">
        <f t="shared" si="87"/>
        <v>0</v>
      </c>
      <c r="AO46" s="512" t="str">
        <f t="shared" si="88"/>
        <v/>
      </c>
      <c r="AP46" s="3"/>
      <c r="AQ46" s="3"/>
      <c r="AR46" s="511">
        <f t="shared" si="89"/>
        <v>0</v>
      </c>
      <c r="AS46" s="512" t="str">
        <f t="shared" si="90"/>
        <v/>
      </c>
      <c r="AT46" s="3"/>
      <c r="AU46" s="3"/>
      <c r="AV46" s="511">
        <f t="shared" si="91"/>
        <v>0</v>
      </c>
      <c r="AW46" s="512" t="str">
        <f t="shared" si="92"/>
        <v/>
      </c>
      <c r="AX46" s="511">
        <f t="shared" si="93"/>
        <v>25.08</v>
      </c>
      <c r="AY46" s="511">
        <f t="shared" si="93"/>
        <v>3500</v>
      </c>
      <c r="AZ46" s="511">
        <f t="shared" si="94"/>
        <v>-3474.92</v>
      </c>
      <c r="BA46" s="512">
        <f t="shared" si="95"/>
        <v>7.1657142857142848E-3</v>
      </c>
      <c r="BB46" s="511">
        <f>855.66</f>
        <v>855.66</v>
      </c>
      <c r="BC46" s="511">
        <f>583.6</f>
        <v>583.6</v>
      </c>
      <c r="BD46" s="511">
        <f t="shared" si="96"/>
        <v>272.05999999999995</v>
      </c>
      <c r="BE46" s="512">
        <f t="shared" si="97"/>
        <v>1.4661754626456476</v>
      </c>
      <c r="BF46" s="3"/>
      <c r="BG46" s="3"/>
      <c r="BH46" s="511">
        <f t="shared" si="98"/>
        <v>0</v>
      </c>
      <c r="BI46" s="512" t="str">
        <f t="shared" si="99"/>
        <v/>
      </c>
      <c r="BJ46" s="511">
        <f>2730</f>
        <v>2730</v>
      </c>
      <c r="BK46" s="3"/>
      <c r="BL46" s="511">
        <f t="shared" si="100"/>
        <v>2730</v>
      </c>
      <c r="BM46" s="512" t="str">
        <f t="shared" si="101"/>
        <v/>
      </c>
      <c r="BN46" s="3"/>
      <c r="BO46" s="3"/>
      <c r="BP46" s="511">
        <f t="shared" si="102"/>
        <v>0</v>
      </c>
      <c r="BQ46" s="512" t="str">
        <f t="shared" si="103"/>
        <v/>
      </c>
      <c r="BR46" s="511">
        <f t="shared" si="104"/>
        <v>3585.66</v>
      </c>
      <c r="BS46" s="511">
        <f t="shared" si="104"/>
        <v>583.6</v>
      </c>
      <c r="BT46" s="511">
        <f t="shared" si="105"/>
        <v>3002.06</v>
      </c>
      <c r="BU46" s="512">
        <f t="shared" si="106"/>
        <v>6.1440370116518155</v>
      </c>
      <c r="BV46" s="511">
        <f>10.98</f>
        <v>10.98</v>
      </c>
      <c r="BW46" s="511">
        <f>10704.95</f>
        <v>10704.95</v>
      </c>
      <c r="BX46" s="511">
        <f t="shared" si="107"/>
        <v>-10693.970000000001</v>
      </c>
      <c r="BY46" s="512">
        <f t="shared" si="108"/>
        <v>1.0256937211290103E-3</v>
      </c>
      <c r="BZ46" s="511">
        <f>15037.15</f>
        <v>15037.15</v>
      </c>
      <c r="CA46" s="511">
        <f>15595.75</f>
        <v>15595.75</v>
      </c>
      <c r="CB46" s="511">
        <f t="shared" si="109"/>
        <v>-558.60000000000036</v>
      </c>
      <c r="CC46" s="512">
        <f t="shared" si="110"/>
        <v>0.96418254973310036</v>
      </c>
      <c r="CD46" s="511">
        <f>10.98</f>
        <v>10.98</v>
      </c>
      <c r="CE46" s="3"/>
      <c r="CF46" s="511">
        <f t="shared" si="111"/>
        <v>10.98</v>
      </c>
      <c r="CG46" s="512" t="str">
        <f t="shared" si="112"/>
        <v/>
      </c>
      <c r="CH46" s="3"/>
      <c r="CI46" s="3"/>
      <c r="CJ46" s="511">
        <f t="shared" si="113"/>
        <v>0</v>
      </c>
      <c r="CK46" s="512" t="str">
        <f t="shared" si="114"/>
        <v/>
      </c>
      <c r="CL46" s="511">
        <f t="shared" si="115"/>
        <v>10.98</v>
      </c>
      <c r="CM46" s="511">
        <f t="shared" si="115"/>
        <v>0</v>
      </c>
      <c r="CN46" s="511">
        <f t="shared" si="116"/>
        <v>10.98</v>
      </c>
      <c r="CO46" s="512" t="str">
        <f t="shared" si="117"/>
        <v/>
      </c>
      <c r="CP46" s="511">
        <f>8430.7</f>
        <v>8430.7000000000007</v>
      </c>
      <c r="CQ46" s="3"/>
      <c r="CR46" s="511">
        <f t="shared" si="118"/>
        <v>8430.7000000000007</v>
      </c>
      <c r="CS46" s="512" t="str">
        <f t="shared" si="119"/>
        <v/>
      </c>
      <c r="CT46" s="511">
        <f>3858.5</f>
        <v>3858.5</v>
      </c>
      <c r="CU46" s="511">
        <f>4800</f>
        <v>4800</v>
      </c>
      <c r="CV46" s="511">
        <f t="shared" si="120"/>
        <v>-941.5</v>
      </c>
      <c r="CW46" s="512">
        <f t="shared" si="121"/>
        <v>0.80385416666666665</v>
      </c>
      <c r="CX46" s="511">
        <f t="shared" si="122"/>
        <v>12289.2</v>
      </c>
      <c r="CY46" s="511">
        <f t="shared" si="122"/>
        <v>4800</v>
      </c>
      <c r="CZ46" s="511">
        <f t="shared" si="123"/>
        <v>7489.2000000000007</v>
      </c>
      <c r="DA46" s="512">
        <f t="shared" si="124"/>
        <v>2.5602500000000004</v>
      </c>
      <c r="DB46" s="3"/>
      <c r="DC46" s="3"/>
      <c r="DD46" s="511">
        <f t="shared" si="125"/>
        <v>0</v>
      </c>
      <c r="DE46" s="512" t="str">
        <f t="shared" si="126"/>
        <v/>
      </c>
      <c r="DF46" s="511">
        <f>3093.75</f>
        <v>3093.75</v>
      </c>
      <c r="DG46" s="3"/>
      <c r="DH46" s="511">
        <f t="shared" si="127"/>
        <v>3093.75</v>
      </c>
      <c r="DI46" s="512" t="str">
        <f t="shared" si="128"/>
        <v/>
      </c>
      <c r="DJ46" s="511">
        <f t="shared" si="129"/>
        <v>3093.75</v>
      </c>
      <c r="DK46" s="511">
        <f t="shared" si="129"/>
        <v>0</v>
      </c>
      <c r="DL46" s="511">
        <f t="shared" si="130"/>
        <v>3093.75</v>
      </c>
      <c r="DM46" s="512" t="str">
        <f t="shared" si="131"/>
        <v/>
      </c>
      <c r="DN46" s="3"/>
      <c r="DO46" s="3"/>
      <c r="DP46" s="511">
        <f t="shared" si="132"/>
        <v>0</v>
      </c>
      <c r="DQ46" s="512" t="str">
        <f t="shared" si="133"/>
        <v/>
      </c>
      <c r="DR46" s="511">
        <f t="shared" si="134"/>
        <v>34131.17</v>
      </c>
      <c r="DS46" s="511">
        <f t="shared" si="135"/>
        <v>37684.300000000003</v>
      </c>
      <c r="DT46" s="511">
        <f t="shared" si="136"/>
        <v>-3553.1300000000047</v>
      </c>
      <c r="DU46" s="512">
        <f t="shared" si="137"/>
        <v>0.90571325459143448</v>
      </c>
    </row>
    <row r="47" spans="1:125" x14ac:dyDescent="0.25">
      <c r="A47" s="2" t="s">
        <v>882</v>
      </c>
      <c r="B47" s="3"/>
      <c r="C47" s="3"/>
      <c r="D47" s="511">
        <f t="shared" si="69"/>
        <v>0</v>
      </c>
      <c r="E47" s="512" t="str">
        <f t="shared" si="70"/>
        <v/>
      </c>
      <c r="F47" s="3"/>
      <c r="G47" s="3"/>
      <c r="H47" s="511">
        <f t="shared" si="71"/>
        <v>0</v>
      </c>
      <c r="I47" s="512" t="str">
        <f t="shared" si="72"/>
        <v/>
      </c>
      <c r="J47" s="3"/>
      <c r="K47" s="511">
        <f>3600</f>
        <v>3600</v>
      </c>
      <c r="L47" s="511">
        <f t="shared" si="73"/>
        <v>-3600</v>
      </c>
      <c r="M47" s="512">
        <f t="shared" si="74"/>
        <v>0</v>
      </c>
      <c r="N47" s="3"/>
      <c r="O47" s="3"/>
      <c r="P47" s="511">
        <f t="shared" si="75"/>
        <v>0</v>
      </c>
      <c r="Q47" s="512" t="str">
        <f t="shared" si="76"/>
        <v/>
      </c>
      <c r="R47" s="3"/>
      <c r="S47" s="3"/>
      <c r="T47" s="511">
        <f t="shared" si="77"/>
        <v>0</v>
      </c>
      <c r="U47" s="512" t="str">
        <f t="shared" si="78"/>
        <v/>
      </c>
      <c r="V47" s="3"/>
      <c r="W47" s="3"/>
      <c r="X47" s="511">
        <f t="shared" si="79"/>
        <v>0</v>
      </c>
      <c r="Y47" s="512" t="str">
        <f t="shared" si="80"/>
        <v/>
      </c>
      <c r="Z47" s="3"/>
      <c r="AA47" s="3"/>
      <c r="AB47" s="511">
        <f t="shared" si="81"/>
        <v>0</v>
      </c>
      <c r="AC47" s="512" t="str">
        <f t="shared" si="82"/>
        <v/>
      </c>
      <c r="AD47" s="3"/>
      <c r="AE47" s="3"/>
      <c r="AF47" s="511">
        <f t="shared" si="83"/>
        <v>0</v>
      </c>
      <c r="AG47" s="512" t="str">
        <f t="shared" si="84"/>
        <v/>
      </c>
      <c r="AH47" s="3"/>
      <c r="AI47" s="3"/>
      <c r="AJ47" s="511">
        <f t="shared" si="85"/>
        <v>0</v>
      </c>
      <c r="AK47" s="512" t="str">
        <f t="shared" si="86"/>
        <v/>
      </c>
      <c r="AL47" s="3"/>
      <c r="AM47" s="3"/>
      <c r="AN47" s="511">
        <f t="shared" si="87"/>
        <v>0</v>
      </c>
      <c r="AO47" s="512" t="str">
        <f t="shared" si="88"/>
        <v/>
      </c>
      <c r="AP47" s="3"/>
      <c r="AQ47" s="3"/>
      <c r="AR47" s="511">
        <f t="shared" si="89"/>
        <v>0</v>
      </c>
      <c r="AS47" s="512" t="str">
        <f t="shared" si="90"/>
        <v/>
      </c>
      <c r="AT47" s="3"/>
      <c r="AU47" s="3"/>
      <c r="AV47" s="511">
        <f t="shared" si="91"/>
        <v>0</v>
      </c>
      <c r="AW47" s="512" t="str">
        <f t="shared" si="92"/>
        <v/>
      </c>
      <c r="AX47" s="511">
        <f t="shared" si="93"/>
        <v>0</v>
      </c>
      <c r="AY47" s="511">
        <f t="shared" si="93"/>
        <v>0</v>
      </c>
      <c r="AZ47" s="511">
        <f t="shared" si="94"/>
        <v>0</v>
      </c>
      <c r="BA47" s="512" t="str">
        <f t="shared" si="95"/>
        <v/>
      </c>
      <c r="BB47" s="3"/>
      <c r="BC47" s="3"/>
      <c r="BD47" s="511">
        <f t="shared" si="96"/>
        <v>0</v>
      </c>
      <c r="BE47" s="512" t="str">
        <f t="shared" si="97"/>
        <v/>
      </c>
      <c r="BF47" s="3"/>
      <c r="BG47" s="3"/>
      <c r="BH47" s="511">
        <f t="shared" si="98"/>
        <v>0</v>
      </c>
      <c r="BI47" s="512" t="str">
        <f t="shared" si="99"/>
        <v/>
      </c>
      <c r="BJ47" s="3"/>
      <c r="BK47" s="3"/>
      <c r="BL47" s="511">
        <f t="shared" si="100"/>
        <v>0</v>
      </c>
      <c r="BM47" s="512" t="str">
        <f t="shared" si="101"/>
        <v/>
      </c>
      <c r="BN47" s="3"/>
      <c r="BO47" s="3"/>
      <c r="BP47" s="511">
        <f t="shared" si="102"/>
        <v>0</v>
      </c>
      <c r="BQ47" s="512" t="str">
        <f t="shared" si="103"/>
        <v/>
      </c>
      <c r="BR47" s="511">
        <f t="shared" si="104"/>
        <v>0</v>
      </c>
      <c r="BS47" s="511">
        <f t="shared" si="104"/>
        <v>0</v>
      </c>
      <c r="BT47" s="511">
        <f t="shared" si="105"/>
        <v>0</v>
      </c>
      <c r="BU47" s="512" t="str">
        <f t="shared" si="106"/>
        <v/>
      </c>
      <c r="BV47" s="3"/>
      <c r="BW47" s="3"/>
      <c r="BX47" s="511">
        <f t="shared" si="107"/>
        <v>0</v>
      </c>
      <c r="BY47" s="512" t="str">
        <f t="shared" si="108"/>
        <v/>
      </c>
      <c r="BZ47" s="3"/>
      <c r="CA47" s="3"/>
      <c r="CB47" s="511">
        <f t="shared" si="109"/>
        <v>0</v>
      </c>
      <c r="CC47" s="512" t="str">
        <f t="shared" si="110"/>
        <v/>
      </c>
      <c r="CD47" s="3"/>
      <c r="CE47" s="3"/>
      <c r="CF47" s="511">
        <f t="shared" si="111"/>
        <v>0</v>
      </c>
      <c r="CG47" s="512" t="str">
        <f t="shared" si="112"/>
        <v/>
      </c>
      <c r="CH47" s="3"/>
      <c r="CI47" s="3"/>
      <c r="CJ47" s="511">
        <f t="shared" si="113"/>
        <v>0</v>
      </c>
      <c r="CK47" s="512" t="str">
        <f t="shared" si="114"/>
        <v/>
      </c>
      <c r="CL47" s="511">
        <f t="shared" si="115"/>
        <v>0</v>
      </c>
      <c r="CM47" s="511">
        <f t="shared" si="115"/>
        <v>0</v>
      </c>
      <c r="CN47" s="511">
        <f t="shared" si="116"/>
        <v>0</v>
      </c>
      <c r="CO47" s="512" t="str">
        <f t="shared" si="117"/>
        <v/>
      </c>
      <c r="CP47" s="3"/>
      <c r="CQ47" s="3"/>
      <c r="CR47" s="511">
        <f t="shared" si="118"/>
        <v>0</v>
      </c>
      <c r="CS47" s="512" t="str">
        <f t="shared" si="119"/>
        <v/>
      </c>
      <c r="CT47" s="3"/>
      <c r="CU47" s="3"/>
      <c r="CV47" s="511">
        <f t="shared" si="120"/>
        <v>0</v>
      </c>
      <c r="CW47" s="512" t="str">
        <f t="shared" si="121"/>
        <v/>
      </c>
      <c r="CX47" s="511">
        <f t="shared" si="122"/>
        <v>0</v>
      </c>
      <c r="CY47" s="511">
        <f t="shared" si="122"/>
        <v>0</v>
      </c>
      <c r="CZ47" s="511">
        <f t="shared" si="123"/>
        <v>0</v>
      </c>
      <c r="DA47" s="512" t="str">
        <f t="shared" si="124"/>
        <v/>
      </c>
      <c r="DB47" s="3"/>
      <c r="DC47" s="3"/>
      <c r="DD47" s="511">
        <f t="shared" si="125"/>
        <v>0</v>
      </c>
      <c r="DE47" s="512" t="str">
        <f t="shared" si="126"/>
        <v/>
      </c>
      <c r="DF47" s="3"/>
      <c r="DG47" s="3"/>
      <c r="DH47" s="511">
        <f t="shared" si="127"/>
        <v>0</v>
      </c>
      <c r="DI47" s="512" t="str">
        <f t="shared" si="128"/>
        <v/>
      </c>
      <c r="DJ47" s="511">
        <f t="shared" si="129"/>
        <v>0</v>
      </c>
      <c r="DK47" s="511">
        <f t="shared" si="129"/>
        <v>0</v>
      </c>
      <c r="DL47" s="511">
        <f t="shared" si="130"/>
        <v>0</v>
      </c>
      <c r="DM47" s="512" t="str">
        <f t="shared" si="131"/>
        <v/>
      </c>
      <c r="DN47" s="3"/>
      <c r="DO47" s="3"/>
      <c r="DP47" s="511">
        <f t="shared" si="132"/>
        <v>0</v>
      </c>
      <c r="DQ47" s="512" t="str">
        <f t="shared" si="133"/>
        <v/>
      </c>
      <c r="DR47" s="511">
        <f t="shared" si="134"/>
        <v>0</v>
      </c>
      <c r="DS47" s="511">
        <f t="shared" si="135"/>
        <v>3600</v>
      </c>
      <c r="DT47" s="511">
        <f t="shared" si="136"/>
        <v>-3600</v>
      </c>
      <c r="DU47" s="512">
        <f t="shared" si="137"/>
        <v>0</v>
      </c>
    </row>
    <row r="48" spans="1:125" x14ac:dyDescent="0.25">
      <c r="A48" s="2" t="s">
        <v>883</v>
      </c>
      <c r="B48" s="3"/>
      <c r="C48" s="3"/>
      <c r="D48" s="511">
        <f t="shared" si="69"/>
        <v>0</v>
      </c>
      <c r="E48" s="512" t="str">
        <f t="shared" si="70"/>
        <v/>
      </c>
      <c r="F48" s="3"/>
      <c r="G48" s="3"/>
      <c r="H48" s="511">
        <f t="shared" si="71"/>
        <v>0</v>
      </c>
      <c r="I48" s="512" t="str">
        <f t="shared" si="72"/>
        <v/>
      </c>
      <c r="J48" s="3"/>
      <c r="K48" s="3"/>
      <c r="L48" s="511">
        <f t="shared" si="73"/>
        <v>0</v>
      </c>
      <c r="M48" s="512" t="str">
        <f t="shared" si="74"/>
        <v/>
      </c>
      <c r="N48" s="3"/>
      <c r="O48" s="3"/>
      <c r="P48" s="511">
        <f t="shared" si="75"/>
        <v>0</v>
      </c>
      <c r="Q48" s="512" t="str">
        <f t="shared" si="76"/>
        <v/>
      </c>
      <c r="R48" s="3"/>
      <c r="S48" s="3"/>
      <c r="T48" s="511">
        <f t="shared" si="77"/>
        <v>0</v>
      </c>
      <c r="U48" s="512" t="str">
        <f t="shared" si="78"/>
        <v/>
      </c>
      <c r="V48" s="3"/>
      <c r="W48" s="3"/>
      <c r="X48" s="511">
        <f t="shared" si="79"/>
        <v>0</v>
      </c>
      <c r="Y48" s="512" t="str">
        <f t="shared" si="80"/>
        <v/>
      </c>
      <c r="Z48" s="3"/>
      <c r="AA48" s="3"/>
      <c r="AB48" s="511">
        <f t="shared" si="81"/>
        <v>0</v>
      </c>
      <c r="AC48" s="512" t="str">
        <f t="shared" si="82"/>
        <v/>
      </c>
      <c r="AD48" s="3"/>
      <c r="AE48" s="3"/>
      <c r="AF48" s="511">
        <f t="shared" si="83"/>
        <v>0</v>
      </c>
      <c r="AG48" s="512" t="str">
        <f t="shared" si="84"/>
        <v/>
      </c>
      <c r="AH48" s="3"/>
      <c r="AI48" s="3"/>
      <c r="AJ48" s="511">
        <f t="shared" si="85"/>
        <v>0</v>
      </c>
      <c r="AK48" s="512" t="str">
        <f t="shared" si="86"/>
        <v/>
      </c>
      <c r="AL48" s="3"/>
      <c r="AM48" s="3"/>
      <c r="AN48" s="511">
        <f t="shared" si="87"/>
        <v>0</v>
      </c>
      <c r="AO48" s="512" t="str">
        <f t="shared" si="88"/>
        <v/>
      </c>
      <c r="AP48" s="3"/>
      <c r="AQ48" s="3"/>
      <c r="AR48" s="511">
        <f t="shared" si="89"/>
        <v>0</v>
      </c>
      <c r="AS48" s="512" t="str">
        <f t="shared" si="90"/>
        <v/>
      </c>
      <c r="AT48" s="3"/>
      <c r="AU48" s="3"/>
      <c r="AV48" s="511">
        <f t="shared" si="91"/>
        <v>0</v>
      </c>
      <c r="AW48" s="512" t="str">
        <f t="shared" si="92"/>
        <v/>
      </c>
      <c r="AX48" s="511">
        <f t="shared" si="93"/>
        <v>0</v>
      </c>
      <c r="AY48" s="511">
        <f t="shared" si="93"/>
        <v>0</v>
      </c>
      <c r="AZ48" s="511">
        <f t="shared" si="94"/>
        <v>0</v>
      </c>
      <c r="BA48" s="512" t="str">
        <f t="shared" si="95"/>
        <v/>
      </c>
      <c r="BB48" s="3"/>
      <c r="BC48" s="3"/>
      <c r="BD48" s="511">
        <f t="shared" si="96"/>
        <v>0</v>
      </c>
      <c r="BE48" s="512" t="str">
        <f t="shared" si="97"/>
        <v/>
      </c>
      <c r="BF48" s="3"/>
      <c r="BG48" s="3"/>
      <c r="BH48" s="511">
        <f t="shared" si="98"/>
        <v>0</v>
      </c>
      <c r="BI48" s="512" t="str">
        <f t="shared" si="99"/>
        <v/>
      </c>
      <c r="BJ48" s="3"/>
      <c r="BK48" s="3"/>
      <c r="BL48" s="511">
        <f t="shared" si="100"/>
        <v>0</v>
      </c>
      <c r="BM48" s="512" t="str">
        <f t="shared" si="101"/>
        <v/>
      </c>
      <c r="BN48" s="3"/>
      <c r="BO48" s="3"/>
      <c r="BP48" s="511">
        <f t="shared" si="102"/>
        <v>0</v>
      </c>
      <c r="BQ48" s="512" t="str">
        <f t="shared" si="103"/>
        <v/>
      </c>
      <c r="BR48" s="511">
        <f t="shared" si="104"/>
        <v>0</v>
      </c>
      <c r="BS48" s="511">
        <f t="shared" si="104"/>
        <v>0</v>
      </c>
      <c r="BT48" s="511">
        <f t="shared" si="105"/>
        <v>0</v>
      </c>
      <c r="BU48" s="512" t="str">
        <f t="shared" si="106"/>
        <v/>
      </c>
      <c r="BV48" s="3"/>
      <c r="BW48" s="3"/>
      <c r="BX48" s="511">
        <f t="shared" si="107"/>
        <v>0</v>
      </c>
      <c r="BY48" s="512" t="str">
        <f t="shared" si="108"/>
        <v/>
      </c>
      <c r="BZ48" s="3"/>
      <c r="CA48" s="3"/>
      <c r="CB48" s="511">
        <f t="shared" si="109"/>
        <v>0</v>
      </c>
      <c r="CC48" s="512" t="str">
        <f t="shared" si="110"/>
        <v/>
      </c>
      <c r="CD48" s="3"/>
      <c r="CE48" s="3"/>
      <c r="CF48" s="511">
        <f t="shared" si="111"/>
        <v>0</v>
      </c>
      <c r="CG48" s="512" t="str">
        <f t="shared" si="112"/>
        <v/>
      </c>
      <c r="CH48" s="511">
        <f>125</f>
        <v>125</v>
      </c>
      <c r="CI48" s="3"/>
      <c r="CJ48" s="511">
        <f t="shared" si="113"/>
        <v>125</v>
      </c>
      <c r="CK48" s="512" t="str">
        <f t="shared" si="114"/>
        <v/>
      </c>
      <c r="CL48" s="511">
        <f t="shared" si="115"/>
        <v>125</v>
      </c>
      <c r="CM48" s="511">
        <f t="shared" si="115"/>
        <v>0</v>
      </c>
      <c r="CN48" s="511">
        <f t="shared" si="116"/>
        <v>125</v>
      </c>
      <c r="CO48" s="512" t="str">
        <f t="shared" si="117"/>
        <v/>
      </c>
      <c r="CP48" s="3"/>
      <c r="CQ48" s="3"/>
      <c r="CR48" s="511">
        <f t="shared" si="118"/>
        <v>0</v>
      </c>
      <c r="CS48" s="512" t="str">
        <f t="shared" si="119"/>
        <v/>
      </c>
      <c r="CT48" s="3"/>
      <c r="CU48" s="3"/>
      <c r="CV48" s="511">
        <f t="shared" si="120"/>
        <v>0</v>
      </c>
      <c r="CW48" s="512" t="str">
        <f t="shared" si="121"/>
        <v/>
      </c>
      <c r="CX48" s="511">
        <f t="shared" si="122"/>
        <v>0</v>
      </c>
      <c r="CY48" s="511">
        <f t="shared" si="122"/>
        <v>0</v>
      </c>
      <c r="CZ48" s="511">
        <f t="shared" si="123"/>
        <v>0</v>
      </c>
      <c r="DA48" s="512" t="str">
        <f t="shared" si="124"/>
        <v/>
      </c>
      <c r="DB48" s="3"/>
      <c r="DC48" s="3"/>
      <c r="DD48" s="511">
        <f t="shared" si="125"/>
        <v>0</v>
      </c>
      <c r="DE48" s="512" t="str">
        <f t="shared" si="126"/>
        <v/>
      </c>
      <c r="DF48" s="3"/>
      <c r="DG48" s="3"/>
      <c r="DH48" s="511">
        <f t="shared" si="127"/>
        <v>0</v>
      </c>
      <c r="DI48" s="512" t="str">
        <f t="shared" si="128"/>
        <v/>
      </c>
      <c r="DJ48" s="511">
        <f t="shared" si="129"/>
        <v>0</v>
      </c>
      <c r="DK48" s="511">
        <f t="shared" si="129"/>
        <v>0</v>
      </c>
      <c r="DL48" s="511">
        <f t="shared" si="130"/>
        <v>0</v>
      </c>
      <c r="DM48" s="512" t="str">
        <f t="shared" si="131"/>
        <v/>
      </c>
      <c r="DN48" s="3"/>
      <c r="DO48" s="3"/>
      <c r="DP48" s="511">
        <f t="shared" si="132"/>
        <v>0</v>
      </c>
      <c r="DQ48" s="512" t="str">
        <f t="shared" si="133"/>
        <v/>
      </c>
      <c r="DR48" s="511">
        <f t="shared" si="134"/>
        <v>125</v>
      </c>
      <c r="DS48" s="511">
        <f t="shared" si="135"/>
        <v>0</v>
      </c>
      <c r="DT48" s="511">
        <f t="shared" si="136"/>
        <v>125</v>
      </c>
      <c r="DU48" s="512" t="str">
        <f t="shared" si="137"/>
        <v/>
      </c>
    </row>
    <row r="49" spans="1:125" x14ac:dyDescent="0.25">
      <c r="A49" s="2" t="s">
        <v>884</v>
      </c>
      <c r="B49" s="3"/>
      <c r="C49" s="3"/>
      <c r="D49" s="511">
        <f t="shared" si="69"/>
        <v>0</v>
      </c>
      <c r="E49" s="512" t="str">
        <f t="shared" si="70"/>
        <v/>
      </c>
      <c r="F49" s="511">
        <f>1425</f>
        <v>1425</v>
      </c>
      <c r="G49" s="3"/>
      <c r="H49" s="511">
        <f t="shared" si="71"/>
        <v>1425</v>
      </c>
      <c r="I49" s="512" t="str">
        <f t="shared" si="72"/>
        <v/>
      </c>
      <c r="J49" s="3"/>
      <c r="K49" s="511">
        <f>1560</f>
        <v>1560</v>
      </c>
      <c r="L49" s="511">
        <f t="shared" si="73"/>
        <v>-1560</v>
      </c>
      <c r="M49" s="512">
        <f t="shared" si="74"/>
        <v>0</v>
      </c>
      <c r="N49" s="3"/>
      <c r="O49" s="3"/>
      <c r="P49" s="511">
        <f t="shared" si="75"/>
        <v>0</v>
      </c>
      <c r="Q49" s="512" t="str">
        <f t="shared" si="76"/>
        <v/>
      </c>
      <c r="R49" s="3"/>
      <c r="S49" s="3"/>
      <c r="T49" s="511">
        <f t="shared" si="77"/>
        <v>0</v>
      </c>
      <c r="U49" s="512" t="str">
        <f t="shared" si="78"/>
        <v/>
      </c>
      <c r="V49" s="3"/>
      <c r="W49" s="3"/>
      <c r="X49" s="511">
        <f t="shared" si="79"/>
        <v>0</v>
      </c>
      <c r="Y49" s="512" t="str">
        <f t="shared" si="80"/>
        <v/>
      </c>
      <c r="Z49" s="3"/>
      <c r="AA49" s="3"/>
      <c r="AB49" s="511">
        <f t="shared" si="81"/>
        <v>0</v>
      </c>
      <c r="AC49" s="512" t="str">
        <f t="shared" si="82"/>
        <v/>
      </c>
      <c r="AD49" s="3"/>
      <c r="AE49" s="3"/>
      <c r="AF49" s="511">
        <f t="shared" si="83"/>
        <v>0</v>
      </c>
      <c r="AG49" s="512" t="str">
        <f t="shared" si="84"/>
        <v/>
      </c>
      <c r="AH49" s="3"/>
      <c r="AI49" s="3"/>
      <c r="AJ49" s="511">
        <f t="shared" si="85"/>
        <v>0</v>
      </c>
      <c r="AK49" s="512" t="str">
        <f t="shared" si="86"/>
        <v/>
      </c>
      <c r="AL49" s="3"/>
      <c r="AM49" s="3"/>
      <c r="AN49" s="511">
        <f t="shared" si="87"/>
        <v>0</v>
      </c>
      <c r="AO49" s="512" t="str">
        <f t="shared" si="88"/>
        <v/>
      </c>
      <c r="AP49" s="3"/>
      <c r="AQ49" s="3"/>
      <c r="AR49" s="511">
        <f t="shared" si="89"/>
        <v>0</v>
      </c>
      <c r="AS49" s="512" t="str">
        <f t="shared" si="90"/>
        <v/>
      </c>
      <c r="AT49" s="3"/>
      <c r="AU49" s="3"/>
      <c r="AV49" s="511">
        <f t="shared" si="91"/>
        <v>0</v>
      </c>
      <c r="AW49" s="512" t="str">
        <f t="shared" si="92"/>
        <v/>
      </c>
      <c r="AX49" s="511">
        <f t="shared" si="93"/>
        <v>0</v>
      </c>
      <c r="AY49" s="511">
        <f t="shared" si="93"/>
        <v>0</v>
      </c>
      <c r="AZ49" s="511">
        <f t="shared" si="94"/>
        <v>0</v>
      </c>
      <c r="BA49" s="512" t="str">
        <f t="shared" si="95"/>
        <v/>
      </c>
      <c r="BB49" s="3"/>
      <c r="BC49" s="3"/>
      <c r="BD49" s="511">
        <f t="shared" si="96"/>
        <v>0</v>
      </c>
      <c r="BE49" s="512" t="str">
        <f t="shared" si="97"/>
        <v/>
      </c>
      <c r="BF49" s="3"/>
      <c r="BG49" s="3"/>
      <c r="BH49" s="511">
        <f t="shared" si="98"/>
        <v>0</v>
      </c>
      <c r="BI49" s="512" t="str">
        <f t="shared" si="99"/>
        <v/>
      </c>
      <c r="BJ49" s="3"/>
      <c r="BK49" s="3"/>
      <c r="BL49" s="511">
        <f t="shared" si="100"/>
        <v>0</v>
      </c>
      <c r="BM49" s="512" t="str">
        <f t="shared" si="101"/>
        <v/>
      </c>
      <c r="BN49" s="3"/>
      <c r="BO49" s="3"/>
      <c r="BP49" s="511">
        <f t="shared" si="102"/>
        <v>0</v>
      </c>
      <c r="BQ49" s="512" t="str">
        <f t="shared" si="103"/>
        <v/>
      </c>
      <c r="BR49" s="511">
        <f t="shared" si="104"/>
        <v>0</v>
      </c>
      <c r="BS49" s="511">
        <f t="shared" si="104"/>
        <v>0</v>
      </c>
      <c r="BT49" s="511">
        <f t="shared" si="105"/>
        <v>0</v>
      </c>
      <c r="BU49" s="512" t="str">
        <f t="shared" si="106"/>
        <v/>
      </c>
      <c r="BV49" s="3"/>
      <c r="BW49" s="3"/>
      <c r="BX49" s="511">
        <f t="shared" si="107"/>
        <v>0</v>
      </c>
      <c r="BY49" s="512" t="str">
        <f t="shared" si="108"/>
        <v/>
      </c>
      <c r="BZ49" s="3"/>
      <c r="CA49" s="3"/>
      <c r="CB49" s="511">
        <f t="shared" si="109"/>
        <v>0</v>
      </c>
      <c r="CC49" s="512" t="str">
        <f t="shared" si="110"/>
        <v/>
      </c>
      <c r="CD49" s="3"/>
      <c r="CE49" s="3"/>
      <c r="CF49" s="511">
        <f t="shared" si="111"/>
        <v>0</v>
      </c>
      <c r="CG49" s="512" t="str">
        <f t="shared" si="112"/>
        <v/>
      </c>
      <c r="CH49" s="3"/>
      <c r="CI49" s="3"/>
      <c r="CJ49" s="511">
        <f t="shared" si="113"/>
        <v>0</v>
      </c>
      <c r="CK49" s="512" t="str">
        <f t="shared" si="114"/>
        <v/>
      </c>
      <c r="CL49" s="511">
        <f t="shared" si="115"/>
        <v>0</v>
      </c>
      <c r="CM49" s="511">
        <f t="shared" si="115"/>
        <v>0</v>
      </c>
      <c r="CN49" s="511">
        <f t="shared" si="116"/>
        <v>0</v>
      </c>
      <c r="CO49" s="512" t="str">
        <f t="shared" si="117"/>
        <v/>
      </c>
      <c r="CP49" s="3"/>
      <c r="CQ49" s="3"/>
      <c r="CR49" s="511">
        <f t="shared" si="118"/>
        <v>0</v>
      </c>
      <c r="CS49" s="512" t="str">
        <f t="shared" si="119"/>
        <v/>
      </c>
      <c r="CT49" s="3"/>
      <c r="CU49" s="3"/>
      <c r="CV49" s="511">
        <f t="shared" si="120"/>
        <v>0</v>
      </c>
      <c r="CW49" s="512" t="str">
        <f t="shared" si="121"/>
        <v/>
      </c>
      <c r="CX49" s="511">
        <f t="shared" si="122"/>
        <v>0</v>
      </c>
      <c r="CY49" s="511">
        <f t="shared" si="122"/>
        <v>0</v>
      </c>
      <c r="CZ49" s="511">
        <f t="shared" si="123"/>
        <v>0</v>
      </c>
      <c r="DA49" s="512" t="str">
        <f t="shared" si="124"/>
        <v/>
      </c>
      <c r="DB49" s="3"/>
      <c r="DC49" s="3"/>
      <c r="DD49" s="511">
        <f t="shared" si="125"/>
        <v>0</v>
      </c>
      <c r="DE49" s="512" t="str">
        <f t="shared" si="126"/>
        <v/>
      </c>
      <c r="DF49" s="3"/>
      <c r="DG49" s="3"/>
      <c r="DH49" s="511">
        <f t="shared" si="127"/>
        <v>0</v>
      </c>
      <c r="DI49" s="512" t="str">
        <f t="shared" si="128"/>
        <v/>
      </c>
      <c r="DJ49" s="511">
        <f t="shared" si="129"/>
        <v>0</v>
      </c>
      <c r="DK49" s="511">
        <f t="shared" si="129"/>
        <v>0</v>
      </c>
      <c r="DL49" s="511">
        <f t="shared" si="130"/>
        <v>0</v>
      </c>
      <c r="DM49" s="512" t="str">
        <f t="shared" si="131"/>
        <v/>
      </c>
      <c r="DN49" s="3"/>
      <c r="DO49" s="3"/>
      <c r="DP49" s="511">
        <f t="shared" si="132"/>
        <v>0</v>
      </c>
      <c r="DQ49" s="512" t="str">
        <f t="shared" si="133"/>
        <v/>
      </c>
      <c r="DR49" s="511">
        <f t="shared" si="134"/>
        <v>1425</v>
      </c>
      <c r="DS49" s="511">
        <f t="shared" si="135"/>
        <v>1560</v>
      </c>
      <c r="DT49" s="511">
        <f t="shared" si="136"/>
        <v>-135</v>
      </c>
      <c r="DU49" s="512">
        <f t="shared" si="137"/>
        <v>0.91346153846153844</v>
      </c>
    </row>
    <row r="50" spans="1:125" x14ac:dyDescent="0.25">
      <c r="A50" s="2" t="s">
        <v>885</v>
      </c>
      <c r="B50" s="3"/>
      <c r="C50" s="3"/>
      <c r="D50" s="511">
        <f t="shared" si="69"/>
        <v>0</v>
      </c>
      <c r="E50" s="512" t="str">
        <f t="shared" si="70"/>
        <v/>
      </c>
      <c r="F50" s="3"/>
      <c r="G50" s="3"/>
      <c r="H50" s="511">
        <f t="shared" si="71"/>
        <v>0</v>
      </c>
      <c r="I50" s="512" t="str">
        <f t="shared" si="72"/>
        <v/>
      </c>
      <c r="J50" s="3"/>
      <c r="K50" s="3"/>
      <c r="L50" s="511">
        <f t="shared" si="73"/>
        <v>0</v>
      </c>
      <c r="M50" s="512" t="str">
        <f t="shared" si="74"/>
        <v/>
      </c>
      <c r="N50" s="3"/>
      <c r="O50" s="3"/>
      <c r="P50" s="511">
        <f t="shared" si="75"/>
        <v>0</v>
      </c>
      <c r="Q50" s="512" t="str">
        <f t="shared" si="76"/>
        <v/>
      </c>
      <c r="R50" s="3"/>
      <c r="S50" s="3"/>
      <c r="T50" s="511">
        <f t="shared" si="77"/>
        <v>0</v>
      </c>
      <c r="U50" s="512" t="str">
        <f t="shared" si="78"/>
        <v/>
      </c>
      <c r="V50" s="3"/>
      <c r="W50" s="3"/>
      <c r="X50" s="511">
        <f t="shared" si="79"/>
        <v>0</v>
      </c>
      <c r="Y50" s="512" t="str">
        <f t="shared" si="80"/>
        <v/>
      </c>
      <c r="Z50" s="3"/>
      <c r="AA50" s="3"/>
      <c r="AB50" s="511">
        <f t="shared" si="81"/>
        <v>0</v>
      </c>
      <c r="AC50" s="512" t="str">
        <f t="shared" si="82"/>
        <v/>
      </c>
      <c r="AD50" s="3"/>
      <c r="AE50" s="3"/>
      <c r="AF50" s="511">
        <f t="shared" si="83"/>
        <v>0</v>
      </c>
      <c r="AG50" s="512" t="str">
        <f t="shared" si="84"/>
        <v/>
      </c>
      <c r="AH50" s="3"/>
      <c r="AI50" s="3"/>
      <c r="AJ50" s="511">
        <f t="shared" si="85"/>
        <v>0</v>
      </c>
      <c r="AK50" s="512" t="str">
        <f t="shared" si="86"/>
        <v/>
      </c>
      <c r="AL50" s="3"/>
      <c r="AM50" s="3"/>
      <c r="AN50" s="511">
        <f t="shared" si="87"/>
        <v>0</v>
      </c>
      <c r="AO50" s="512" t="str">
        <f t="shared" si="88"/>
        <v/>
      </c>
      <c r="AP50" s="3"/>
      <c r="AQ50" s="3"/>
      <c r="AR50" s="511">
        <f t="shared" si="89"/>
        <v>0</v>
      </c>
      <c r="AS50" s="512" t="str">
        <f t="shared" si="90"/>
        <v/>
      </c>
      <c r="AT50" s="3"/>
      <c r="AU50" s="3"/>
      <c r="AV50" s="511">
        <f t="shared" si="91"/>
        <v>0</v>
      </c>
      <c r="AW50" s="512" t="str">
        <f t="shared" si="92"/>
        <v/>
      </c>
      <c r="AX50" s="511">
        <f t="shared" si="93"/>
        <v>0</v>
      </c>
      <c r="AY50" s="511">
        <f t="shared" si="93"/>
        <v>0</v>
      </c>
      <c r="AZ50" s="511">
        <f t="shared" si="94"/>
        <v>0</v>
      </c>
      <c r="BA50" s="512" t="str">
        <f t="shared" si="95"/>
        <v/>
      </c>
      <c r="BB50" s="3"/>
      <c r="BC50" s="3"/>
      <c r="BD50" s="511">
        <f t="shared" si="96"/>
        <v>0</v>
      </c>
      <c r="BE50" s="512" t="str">
        <f t="shared" si="97"/>
        <v/>
      </c>
      <c r="BF50" s="3"/>
      <c r="BG50" s="3"/>
      <c r="BH50" s="511">
        <f t="shared" si="98"/>
        <v>0</v>
      </c>
      <c r="BI50" s="512" t="str">
        <f t="shared" si="99"/>
        <v/>
      </c>
      <c r="BJ50" s="3"/>
      <c r="BK50" s="3"/>
      <c r="BL50" s="511">
        <f t="shared" si="100"/>
        <v>0</v>
      </c>
      <c r="BM50" s="512" t="str">
        <f t="shared" si="101"/>
        <v/>
      </c>
      <c r="BN50" s="3"/>
      <c r="BO50" s="3"/>
      <c r="BP50" s="511">
        <f t="shared" si="102"/>
        <v>0</v>
      </c>
      <c r="BQ50" s="512" t="str">
        <f t="shared" si="103"/>
        <v/>
      </c>
      <c r="BR50" s="511">
        <f t="shared" si="104"/>
        <v>0</v>
      </c>
      <c r="BS50" s="511">
        <f t="shared" si="104"/>
        <v>0</v>
      </c>
      <c r="BT50" s="511">
        <f t="shared" si="105"/>
        <v>0</v>
      </c>
      <c r="BU50" s="512" t="str">
        <f t="shared" si="106"/>
        <v/>
      </c>
      <c r="BV50" s="3"/>
      <c r="BW50" s="3"/>
      <c r="BX50" s="511">
        <f t="shared" si="107"/>
        <v>0</v>
      </c>
      <c r="BY50" s="512" t="str">
        <f t="shared" si="108"/>
        <v/>
      </c>
      <c r="BZ50" s="511">
        <f>450</f>
        <v>450</v>
      </c>
      <c r="CA50" s="3"/>
      <c r="CB50" s="511">
        <f t="shared" si="109"/>
        <v>450</v>
      </c>
      <c r="CC50" s="512" t="str">
        <f t="shared" si="110"/>
        <v/>
      </c>
      <c r="CD50" s="511">
        <f>595</f>
        <v>595</v>
      </c>
      <c r="CE50" s="3"/>
      <c r="CF50" s="511">
        <f t="shared" si="111"/>
        <v>595</v>
      </c>
      <c r="CG50" s="512" t="str">
        <f t="shared" si="112"/>
        <v/>
      </c>
      <c r="CH50" s="3"/>
      <c r="CI50" s="3"/>
      <c r="CJ50" s="511">
        <f t="shared" si="113"/>
        <v>0</v>
      </c>
      <c r="CK50" s="512" t="str">
        <f t="shared" si="114"/>
        <v/>
      </c>
      <c r="CL50" s="511">
        <f t="shared" si="115"/>
        <v>595</v>
      </c>
      <c r="CM50" s="511">
        <f t="shared" si="115"/>
        <v>0</v>
      </c>
      <c r="CN50" s="511">
        <f t="shared" si="116"/>
        <v>595</v>
      </c>
      <c r="CO50" s="512" t="str">
        <f t="shared" si="117"/>
        <v/>
      </c>
      <c r="CP50" s="3"/>
      <c r="CQ50" s="3"/>
      <c r="CR50" s="511">
        <f t="shared" si="118"/>
        <v>0</v>
      </c>
      <c r="CS50" s="512" t="str">
        <f t="shared" si="119"/>
        <v/>
      </c>
      <c r="CT50" s="3"/>
      <c r="CU50" s="3"/>
      <c r="CV50" s="511">
        <f t="shared" si="120"/>
        <v>0</v>
      </c>
      <c r="CW50" s="512" t="str">
        <f t="shared" si="121"/>
        <v/>
      </c>
      <c r="CX50" s="511">
        <f t="shared" si="122"/>
        <v>0</v>
      </c>
      <c r="CY50" s="511">
        <f t="shared" si="122"/>
        <v>0</v>
      </c>
      <c r="CZ50" s="511">
        <f t="shared" si="123"/>
        <v>0</v>
      </c>
      <c r="DA50" s="512" t="str">
        <f t="shared" si="124"/>
        <v/>
      </c>
      <c r="DB50" s="3"/>
      <c r="DC50" s="3"/>
      <c r="DD50" s="511">
        <f t="shared" si="125"/>
        <v>0</v>
      </c>
      <c r="DE50" s="512" t="str">
        <f t="shared" si="126"/>
        <v/>
      </c>
      <c r="DF50" s="3"/>
      <c r="DG50" s="3"/>
      <c r="DH50" s="511">
        <f t="shared" si="127"/>
        <v>0</v>
      </c>
      <c r="DI50" s="512" t="str">
        <f t="shared" si="128"/>
        <v/>
      </c>
      <c r="DJ50" s="511">
        <f t="shared" si="129"/>
        <v>0</v>
      </c>
      <c r="DK50" s="511">
        <f t="shared" si="129"/>
        <v>0</v>
      </c>
      <c r="DL50" s="511">
        <f t="shared" si="130"/>
        <v>0</v>
      </c>
      <c r="DM50" s="512" t="str">
        <f t="shared" si="131"/>
        <v/>
      </c>
      <c r="DN50" s="3"/>
      <c r="DO50" s="3"/>
      <c r="DP50" s="511">
        <f t="shared" si="132"/>
        <v>0</v>
      </c>
      <c r="DQ50" s="512" t="str">
        <f t="shared" si="133"/>
        <v/>
      </c>
      <c r="DR50" s="511">
        <f t="shared" si="134"/>
        <v>1045</v>
      </c>
      <c r="DS50" s="511">
        <f t="shared" si="135"/>
        <v>0</v>
      </c>
      <c r="DT50" s="511">
        <f t="shared" si="136"/>
        <v>1045</v>
      </c>
      <c r="DU50" s="512" t="str">
        <f t="shared" si="137"/>
        <v/>
      </c>
    </row>
    <row r="51" spans="1:125" x14ac:dyDescent="0.25">
      <c r="A51" s="2" t="s">
        <v>886</v>
      </c>
      <c r="B51" s="513">
        <f>((((B46)+(B47))+(B48))+(B49))+(B50)</f>
        <v>37.630000000000003</v>
      </c>
      <c r="C51" s="513">
        <f>((((C46)+(C47))+(C48))+(C49))+(C50)</f>
        <v>0</v>
      </c>
      <c r="D51" s="513">
        <f t="shared" si="69"/>
        <v>37.630000000000003</v>
      </c>
      <c r="E51" s="514" t="str">
        <f t="shared" si="70"/>
        <v/>
      </c>
      <c r="F51" s="513">
        <f>((((F46)+(F47))+(F48))+(F49))+(F50)</f>
        <v>1425</v>
      </c>
      <c r="G51" s="513">
        <f>((((G46)+(G47))+(G48))+(G49))+(G50)</f>
        <v>2500</v>
      </c>
      <c r="H51" s="513">
        <f t="shared" si="71"/>
        <v>-1075</v>
      </c>
      <c r="I51" s="514">
        <f t="shared" si="72"/>
        <v>0.56999999999999995</v>
      </c>
      <c r="J51" s="513">
        <f>((((J46)+(J47))+(J48))+(J49))+(J50)</f>
        <v>15.66</v>
      </c>
      <c r="K51" s="513">
        <f>((((K46)+(K47))+(K48))+(K49))+(K50)</f>
        <v>5160</v>
      </c>
      <c r="L51" s="513">
        <f t="shared" si="73"/>
        <v>-5144.34</v>
      </c>
      <c r="M51" s="514">
        <f t="shared" si="74"/>
        <v>3.0348837209302326E-3</v>
      </c>
      <c r="N51" s="513">
        <f>((((N46)+(N47))+(N48))+(N49))+(N50)</f>
        <v>0</v>
      </c>
      <c r="O51" s="513">
        <f>((((O46)+(O47))+(O48))+(O49))+(O50)</f>
        <v>0</v>
      </c>
      <c r="P51" s="513">
        <f t="shared" si="75"/>
        <v>0</v>
      </c>
      <c r="Q51" s="514" t="str">
        <f t="shared" si="76"/>
        <v/>
      </c>
      <c r="R51" s="513">
        <f>((((R46)+(R47))+(R48))+(R49))+(R50)</f>
        <v>25.08</v>
      </c>
      <c r="S51" s="513">
        <f>((((S46)+(S47))+(S48))+(S49))+(S50)</f>
        <v>0</v>
      </c>
      <c r="T51" s="513">
        <f t="shared" si="77"/>
        <v>25.08</v>
      </c>
      <c r="U51" s="514" t="str">
        <f t="shared" si="78"/>
        <v/>
      </c>
      <c r="V51" s="513">
        <f>((((V46)+(V47))+(V48))+(V49))+(V50)</f>
        <v>25.08</v>
      </c>
      <c r="W51" s="513">
        <f>((((W46)+(W47))+(W48))+(W49))+(W50)</f>
        <v>3500</v>
      </c>
      <c r="X51" s="513">
        <f t="shared" si="79"/>
        <v>-3474.92</v>
      </c>
      <c r="Y51" s="514">
        <f t="shared" si="80"/>
        <v>7.1657142857142848E-3</v>
      </c>
      <c r="Z51" s="513">
        <f>((((Z46)+(Z47))+(Z48))+(Z49))+(Z50)</f>
        <v>0</v>
      </c>
      <c r="AA51" s="513">
        <f>((((AA46)+(AA47))+(AA48))+(AA49))+(AA50)</f>
        <v>0</v>
      </c>
      <c r="AB51" s="513">
        <f t="shared" si="81"/>
        <v>0</v>
      </c>
      <c r="AC51" s="514" t="str">
        <f t="shared" si="82"/>
        <v/>
      </c>
      <c r="AD51" s="513">
        <f>((((AD46)+(AD47))+(AD48))+(AD49))+(AD50)</f>
        <v>0</v>
      </c>
      <c r="AE51" s="513">
        <f>((((AE46)+(AE47))+(AE48))+(AE49))+(AE50)</f>
        <v>0</v>
      </c>
      <c r="AF51" s="513">
        <f t="shared" si="83"/>
        <v>0</v>
      </c>
      <c r="AG51" s="514" t="str">
        <f t="shared" si="84"/>
        <v/>
      </c>
      <c r="AH51" s="513">
        <f>((((AH46)+(AH47))+(AH48))+(AH49))+(AH50)</f>
        <v>0</v>
      </c>
      <c r="AI51" s="513">
        <f>((((AI46)+(AI47))+(AI48))+(AI49))+(AI50)</f>
        <v>0</v>
      </c>
      <c r="AJ51" s="513">
        <f t="shared" si="85"/>
        <v>0</v>
      </c>
      <c r="AK51" s="514" t="str">
        <f t="shared" si="86"/>
        <v/>
      </c>
      <c r="AL51" s="513">
        <f>((((AL46)+(AL47))+(AL48))+(AL49))+(AL50)</f>
        <v>0</v>
      </c>
      <c r="AM51" s="513">
        <f>((((AM46)+(AM47))+(AM48))+(AM49))+(AM50)</f>
        <v>0</v>
      </c>
      <c r="AN51" s="513">
        <f t="shared" si="87"/>
        <v>0</v>
      </c>
      <c r="AO51" s="514" t="str">
        <f t="shared" si="88"/>
        <v/>
      </c>
      <c r="AP51" s="513">
        <f>((((AP46)+(AP47))+(AP48))+(AP49))+(AP50)</f>
        <v>0</v>
      </c>
      <c r="AQ51" s="513">
        <f>((((AQ46)+(AQ47))+(AQ48))+(AQ49))+(AQ50)</f>
        <v>0</v>
      </c>
      <c r="AR51" s="513">
        <f t="shared" si="89"/>
        <v>0</v>
      </c>
      <c r="AS51" s="514" t="str">
        <f t="shared" si="90"/>
        <v/>
      </c>
      <c r="AT51" s="513">
        <f>((((AT46)+(AT47))+(AT48))+(AT49))+(AT50)</f>
        <v>0</v>
      </c>
      <c r="AU51" s="513">
        <f>((((AU46)+(AU47))+(AU48))+(AU49))+(AU50)</f>
        <v>0</v>
      </c>
      <c r="AV51" s="513">
        <f t="shared" si="91"/>
        <v>0</v>
      </c>
      <c r="AW51" s="514" t="str">
        <f t="shared" si="92"/>
        <v/>
      </c>
      <c r="AX51" s="513">
        <f t="shared" si="93"/>
        <v>25.08</v>
      </c>
      <c r="AY51" s="513">
        <f t="shared" si="93"/>
        <v>3500</v>
      </c>
      <c r="AZ51" s="513">
        <f t="shared" si="94"/>
        <v>-3474.92</v>
      </c>
      <c r="BA51" s="514">
        <f t="shared" si="95"/>
        <v>7.1657142857142848E-3</v>
      </c>
      <c r="BB51" s="513">
        <f>((((BB46)+(BB47))+(BB48))+(BB49))+(BB50)</f>
        <v>855.66</v>
      </c>
      <c r="BC51" s="513">
        <f>((((BC46)+(BC47))+(BC48))+(BC49))+(BC50)</f>
        <v>583.6</v>
      </c>
      <c r="BD51" s="513">
        <f t="shared" si="96"/>
        <v>272.05999999999995</v>
      </c>
      <c r="BE51" s="514">
        <f t="shared" si="97"/>
        <v>1.4661754626456476</v>
      </c>
      <c r="BF51" s="513">
        <f>((((BF46)+(BF47))+(BF48))+(BF49))+(BF50)</f>
        <v>0</v>
      </c>
      <c r="BG51" s="513">
        <f>((((BG46)+(BG47))+(BG48))+(BG49))+(BG50)</f>
        <v>0</v>
      </c>
      <c r="BH51" s="513">
        <f t="shared" si="98"/>
        <v>0</v>
      </c>
      <c r="BI51" s="514" t="str">
        <f t="shared" si="99"/>
        <v/>
      </c>
      <c r="BJ51" s="513">
        <f>((((BJ46)+(BJ47))+(BJ48))+(BJ49))+(BJ50)</f>
        <v>2730</v>
      </c>
      <c r="BK51" s="513">
        <f>((((BK46)+(BK47))+(BK48))+(BK49))+(BK50)</f>
        <v>0</v>
      </c>
      <c r="BL51" s="513">
        <f t="shared" si="100"/>
        <v>2730</v>
      </c>
      <c r="BM51" s="514" t="str">
        <f t="shared" si="101"/>
        <v/>
      </c>
      <c r="BN51" s="513">
        <f>((((BN46)+(BN47))+(BN48))+(BN49))+(BN50)</f>
        <v>0</v>
      </c>
      <c r="BO51" s="513">
        <f>((((BO46)+(BO47))+(BO48))+(BO49))+(BO50)</f>
        <v>0</v>
      </c>
      <c r="BP51" s="513">
        <f t="shared" si="102"/>
        <v>0</v>
      </c>
      <c r="BQ51" s="514" t="str">
        <f t="shared" si="103"/>
        <v/>
      </c>
      <c r="BR51" s="513">
        <f t="shared" si="104"/>
        <v>3585.66</v>
      </c>
      <c r="BS51" s="513">
        <f t="shared" si="104"/>
        <v>583.6</v>
      </c>
      <c r="BT51" s="513">
        <f t="shared" si="105"/>
        <v>3002.06</v>
      </c>
      <c r="BU51" s="514">
        <f t="shared" si="106"/>
        <v>6.1440370116518155</v>
      </c>
      <c r="BV51" s="513">
        <f>((((BV46)+(BV47))+(BV48))+(BV49))+(BV50)</f>
        <v>10.98</v>
      </c>
      <c r="BW51" s="513">
        <f>((((BW46)+(BW47))+(BW48))+(BW49))+(BW50)</f>
        <v>10704.95</v>
      </c>
      <c r="BX51" s="513">
        <f t="shared" si="107"/>
        <v>-10693.970000000001</v>
      </c>
      <c r="BY51" s="514">
        <f t="shared" si="108"/>
        <v>1.0256937211290103E-3</v>
      </c>
      <c r="BZ51" s="513">
        <f>((((BZ46)+(BZ47))+(BZ48))+(BZ49))+(BZ50)</f>
        <v>15487.15</v>
      </c>
      <c r="CA51" s="513">
        <f>((((CA46)+(CA47))+(CA48))+(CA49))+(CA50)</f>
        <v>15595.75</v>
      </c>
      <c r="CB51" s="513">
        <f t="shared" si="109"/>
        <v>-108.60000000000036</v>
      </c>
      <c r="CC51" s="514">
        <f t="shared" si="110"/>
        <v>0.99303656444864785</v>
      </c>
      <c r="CD51" s="513">
        <f>((((CD46)+(CD47))+(CD48))+(CD49))+(CD50)</f>
        <v>605.98</v>
      </c>
      <c r="CE51" s="513">
        <f>((((CE46)+(CE47))+(CE48))+(CE49))+(CE50)</f>
        <v>0</v>
      </c>
      <c r="CF51" s="513">
        <f t="shared" si="111"/>
        <v>605.98</v>
      </c>
      <c r="CG51" s="514" t="str">
        <f t="shared" si="112"/>
        <v/>
      </c>
      <c r="CH51" s="513">
        <f>((((CH46)+(CH47))+(CH48))+(CH49))+(CH50)</f>
        <v>125</v>
      </c>
      <c r="CI51" s="513">
        <f>((((CI46)+(CI47))+(CI48))+(CI49))+(CI50)</f>
        <v>0</v>
      </c>
      <c r="CJ51" s="513">
        <f t="shared" si="113"/>
        <v>125</v>
      </c>
      <c r="CK51" s="514" t="str">
        <f t="shared" si="114"/>
        <v/>
      </c>
      <c r="CL51" s="513">
        <f t="shared" si="115"/>
        <v>730.98</v>
      </c>
      <c r="CM51" s="513">
        <f t="shared" si="115"/>
        <v>0</v>
      </c>
      <c r="CN51" s="513">
        <f t="shared" si="116"/>
        <v>730.98</v>
      </c>
      <c r="CO51" s="514" t="str">
        <f t="shared" si="117"/>
        <v/>
      </c>
      <c r="CP51" s="513">
        <f>((((CP46)+(CP47))+(CP48))+(CP49))+(CP50)</f>
        <v>8430.7000000000007</v>
      </c>
      <c r="CQ51" s="513">
        <f>((((CQ46)+(CQ47))+(CQ48))+(CQ49))+(CQ50)</f>
        <v>0</v>
      </c>
      <c r="CR51" s="513">
        <f t="shared" si="118"/>
        <v>8430.7000000000007</v>
      </c>
      <c r="CS51" s="514" t="str">
        <f t="shared" si="119"/>
        <v/>
      </c>
      <c r="CT51" s="513">
        <f>((((CT46)+(CT47))+(CT48))+(CT49))+(CT50)</f>
        <v>3858.5</v>
      </c>
      <c r="CU51" s="513">
        <f>((((CU46)+(CU47))+(CU48))+(CU49))+(CU50)</f>
        <v>4800</v>
      </c>
      <c r="CV51" s="513">
        <f t="shared" si="120"/>
        <v>-941.5</v>
      </c>
      <c r="CW51" s="514">
        <f t="shared" si="121"/>
        <v>0.80385416666666665</v>
      </c>
      <c r="CX51" s="513">
        <f t="shared" si="122"/>
        <v>12289.2</v>
      </c>
      <c r="CY51" s="513">
        <f t="shared" si="122"/>
        <v>4800</v>
      </c>
      <c r="CZ51" s="513">
        <f t="shared" si="123"/>
        <v>7489.2000000000007</v>
      </c>
      <c r="DA51" s="514">
        <f t="shared" si="124"/>
        <v>2.5602500000000004</v>
      </c>
      <c r="DB51" s="513">
        <f>((((DB46)+(DB47))+(DB48))+(DB49))+(DB50)</f>
        <v>0</v>
      </c>
      <c r="DC51" s="513">
        <f>((((DC46)+(DC47))+(DC48))+(DC49))+(DC50)</f>
        <v>0</v>
      </c>
      <c r="DD51" s="513">
        <f t="shared" si="125"/>
        <v>0</v>
      </c>
      <c r="DE51" s="514" t="str">
        <f t="shared" si="126"/>
        <v/>
      </c>
      <c r="DF51" s="513">
        <f>((((DF46)+(DF47))+(DF48))+(DF49))+(DF50)</f>
        <v>3093.75</v>
      </c>
      <c r="DG51" s="513">
        <f>((((DG46)+(DG47))+(DG48))+(DG49))+(DG50)</f>
        <v>0</v>
      </c>
      <c r="DH51" s="513">
        <f t="shared" si="127"/>
        <v>3093.75</v>
      </c>
      <c r="DI51" s="514" t="str">
        <f t="shared" si="128"/>
        <v/>
      </c>
      <c r="DJ51" s="513">
        <f t="shared" si="129"/>
        <v>3093.75</v>
      </c>
      <c r="DK51" s="513">
        <f t="shared" si="129"/>
        <v>0</v>
      </c>
      <c r="DL51" s="513">
        <f t="shared" si="130"/>
        <v>3093.75</v>
      </c>
      <c r="DM51" s="514" t="str">
        <f t="shared" si="131"/>
        <v/>
      </c>
      <c r="DN51" s="513">
        <f>((((DN46)+(DN47))+(DN48))+(DN49))+(DN50)</f>
        <v>0</v>
      </c>
      <c r="DO51" s="513">
        <f>((((DO46)+(DO47))+(DO48))+(DO49))+(DO50)</f>
        <v>0</v>
      </c>
      <c r="DP51" s="513">
        <f t="shared" si="132"/>
        <v>0</v>
      </c>
      <c r="DQ51" s="514" t="str">
        <f t="shared" si="133"/>
        <v/>
      </c>
      <c r="DR51" s="513">
        <f t="shared" si="134"/>
        <v>36726.17</v>
      </c>
      <c r="DS51" s="513">
        <f t="shared" si="135"/>
        <v>42844.3</v>
      </c>
      <c r="DT51" s="513">
        <f t="shared" si="136"/>
        <v>-6118.1300000000047</v>
      </c>
      <c r="DU51" s="514">
        <f t="shared" si="137"/>
        <v>0.85720084118540851</v>
      </c>
    </row>
    <row r="52" spans="1:125" x14ac:dyDescent="0.25">
      <c r="A52" s="2" t="s">
        <v>887</v>
      </c>
      <c r="B52" s="511">
        <f>989</f>
        <v>989</v>
      </c>
      <c r="C52" s="511">
        <f>3000</f>
        <v>3000</v>
      </c>
      <c r="D52" s="511">
        <f t="shared" si="69"/>
        <v>-2011</v>
      </c>
      <c r="E52" s="512">
        <f t="shared" si="70"/>
        <v>0.32966666666666666</v>
      </c>
      <c r="F52" s="3"/>
      <c r="G52" s="3"/>
      <c r="H52" s="511">
        <f t="shared" si="71"/>
        <v>0</v>
      </c>
      <c r="I52" s="512" t="str">
        <f t="shared" si="72"/>
        <v/>
      </c>
      <c r="J52" s="511">
        <f>983</f>
        <v>983</v>
      </c>
      <c r="K52" s="3"/>
      <c r="L52" s="511">
        <f t="shared" si="73"/>
        <v>983</v>
      </c>
      <c r="M52" s="512" t="str">
        <f t="shared" si="74"/>
        <v/>
      </c>
      <c r="N52" s="3"/>
      <c r="O52" s="3"/>
      <c r="P52" s="511">
        <f t="shared" si="75"/>
        <v>0</v>
      </c>
      <c r="Q52" s="512" t="str">
        <f t="shared" si="76"/>
        <v/>
      </c>
      <c r="R52" s="3"/>
      <c r="S52" s="3"/>
      <c r="T52" s="511">
        <f t="shared" si="77"/>
        <v>0</v>
      </c>
      <c r="U52" s="512" t="str">
        <f t="shared" si="78"/>
        <v/>
      </c>
      <c r="V52" s="511">
        <f>1376.2</f>
        <v>1376.2</v>
      </c>
      <c r="W52" s="511">
        <f>1800</f>
        <v>1800</v>
      </c>
      <c r="X52" s="511">
        <f t="shared" si="79"/>
        <v>-423.79999999999995</v>
      </c>
      <c r="Y52" s="512">
        <f t="shared" si="80"/>
        <v>0.76455555555555554</v>
      </c>
      <c r="Z52" s="3"/>
      <c r="AA52" s="3"/>
      <c r="AB52" s="511">
        <f t="shared" si="81"/>
        <v>0</v>
      </c>
      <c r="AC52" s="512" t="str">
        <f t="shared" si="82"/>
        <v/>
      </c>
      <c r="AD52" s="3"/>
      <c r="AE52" s="3"/>
      <c r="AF52" s="511">
        <f t="shared" si="83"/>
        <v>0</v>
      </c>
      <c r="AG52" s="512" t="str">
        <f t="shared" si="84"/>
        <v/>
      </c>
      <c r="AH52" s="3"/>
      <c r="AI52" s="3"/>
      <c r="AJ52" s="511">
        <f t="shared" si="85"/>
        <v>0</v>
      </c>
      <c r="AK52" s="512" t="str">
        <f t="shared" si="86"/>
        <v/>
      </c>
      <c r="AL52" s="3"/>
      <c r="AM52" s="3"/>
      <c r="AN52" s="511">
        <f t="shared" si="87"/>
        <v>0</v>
      </c>
      <c r="AO52" s="512" t="str">
        <f t="shared" si="88"/>
        <v/>
      </c>
      <c r="AP52" s="3"/>
      <c r="AQ52" s="3"/>
      <c r="AR52" s="511">
        <f t="shared" si="89"/>
        <v>0</v>
      </c>
      <c r="AS52" s="512" t="str">
        <f t="shared" si="90"/>
        <v/>
      </c>
      <c r="AT52" s="3"/>
      <c r="AU52" s="3"/>
      <c r="AV52" s="511">
        <f t="shared" si="91"/>
        <v>0</v>
      </c>
      <c r="AW52" s="512" t="str">
        <f t="shared" si="92"/>
        <v/>
      </c>
      <c r="AX52" s="511">
        <f t="shared" si="93"/>
        <v>1376.2</v>
      </c>
      <c r="AY52" s="511">
        <f t="shared" si="93"/>
        <v>1800</v>
      </c>
      <c r="AZ52" s="511">
        <f t="shared" si="94"/>
        <v>-423.79999999999995</v>
      </c>
      <c r="BA52" s="512">
        <f t="shared" si="95"/>
        <v>0.76455555555555554</v>
      </c>
      <c r="BB52" s="3"/>
      <c r="BC52" s="511">
        <f>1115.4</f>
        <v>1115.4000000000001</v>
      </c>
      <c r="BD52" s="511">
        <f t="shared" si="96"/>
        <v>-1115.4000000000001</v>
      </c>
      <c r="BE52" s="512">
        <f t="shared" si="97"/>
        <v>0</v>
      </c>
      <c r="BF52" s="3"/>
      <c r="BG52" s="3"/>
      <c r="BH52" s="511">
        <f t="shared" si="98"/>
        <v>0</v>
      </c>
      <c r="BI52" s="512" t="str">
        <f t="shared" si="99"/>
        <v/>
      </c>
      <c r="BJ52" s="3"/>
      <c r="BK52" s="3"/>
      <c r="BL52" s="511">
        <f t="shared" si="100"/>
        <v>0</v>
      </c>
      <c r="BM52" s="512" t="str">
        <f t="shared" si="101"/>
        <v/>
      </c>
      <c r="BN52" s="3"/>
      <c r="BO52" s="3"/>
      <c r="BP52" s="511">
        <f t="shared" si="102"/>
        <v>0</v>
      </c>
      <c r="BQ52" s="512" t="str">
        <f t="shared" si="103"/>
        <v/>
      </c>
      <c r="BR52" s="511">
        <f t="shared" si="104"/>
        <v>0</v>
      </c>
      <c r="BS52" s="511">
        <f t="shared" si="104"/>
        <v>1115.4000000000001</v>
      </c>
      <c r="BT52" s="511">
        <f t="shared" si="105"/>
        <v>-1115.4000000000001</v>
      </c>
      <c r="BU52" s="512">
        <f t="shared" si="106"/>
        <v>0</v>
      </c>
      <c r="BV52" s="511">
        <f>196.6</f>
        <v>196.6</v>
      </c>
      <c r="BW52" s="3"/>
      <c r="BX52" s="511">
        <f t="shared" si="107"/>
        <v>196.6</v>
      </c>
      <c r="BY52" s="512" t="str">
        <f t="shared" si="108"/>
        <v/>
      </c>
      <c r="BZ52" s="511">
        <f>196.6</f>
        <v>196.6</v>
      </c>
      <c r="CA52" s="3"/>
      <c r="CB52" s="511">
        <f t="shared" si="109"/>
        <v>196.6</v>
      </c>
      <c r="CC52" s="512" t="str">
        <f t="shared" si="110"/>
        <v/>
      </c>
      <c r="CD52" s="3"/>
      <c r="CE52" s="3"/>
      <c r="CF52" s="511">
        <f t="shared" si="111"/>
        <v>0</v>
      </c>
      <c r="CG52" s="512" t="str">
        <f t="shared" si="112"/>
        <v/>
      </c>
      <c r="CH52" s="3"/>
      <c r="CI52" s="3"/>
      <c r="CJ52" s="511">
        <f t="shared" si="113"/>
        <v>0</v>
      </c>
      <c r="CK52" s="512" t="str">
        <f t="shared" si="114"/>
        <v/>
      </c>
      <c r="CL52" s="511">
        <f t="shared" si="115"/>
        <v>0</v>
      </c>
      <c r="CM52" s="511">
        <f t="shared" si="115"/>
        <v>0</v>
      </c>
      <c r="CN52" s="511">
        <f t="shared" si="116"/>
        <v>0</v>
      </c>
      <c r="CO52" s="512" t="str">
        <f t="shared" si="117"/>
        <v/>
      </c>
      <c r="CP52" s="3"/>
      <c r="CQ52" s="3"/>
      <c r="CR52" s="511">
        <f t="shared" si="118"/>
        <v>0</v>
      </c>
      <c r="CS52" s="512" t="str">
        <f t="shared" si="119"/>
        <v/>
      </c>
      <c r="CT52" s="511">
        <f>196.6</f>
        <v>196.6</v>
      </c>
      <c r="CU52" s="3"/>
      <c r="CV52" s="511">
        <f t="shared" si="120"/>
        <v>196.6</v>
      </c>
      <c r="CW52" s="512" t="str">
        <f t="shared" si="121"/>
        <v/>
      </c>
      <c r="CX52" s="511">
        <f t="shared" si="122"/>
        <v>196.6</v>
      </c>
      <c r="CY52" s="511">
        <f t="shared" si="122"/>
        <v>0</v>
      </c>
      <c r="CZ52" s="511">
        <f t="shared" si="123"/>
        <v>196.6</v>
      </c>
      <c r="DA52" s="512" t="str">
        <f t="shared" si="124"/>
        <v/>
      </c>
      <c r="DB52" s="3"/>
      <c r="DC52" s="3"/>
      <c r="DD52" s="511">
        <f t="shared" si="125"/>
        <v>0</v>
      </c>
      <c r="DE52" s="512" t="str">
        <f t="shared" si="126"/>
        <v/>
      </c>
      <c r="DF52" s="3"/>
      <c r="DG52" s="3"/>
      <c r="DH52" s="511">
        <f t="shared" si="127"/>
        <v>0</v>
      </c>
      <c r="DI52" s="512" t="str">
        <f t="shared" si="128"/>
        <v/>
      </c>
      <c r="DJ52" s="511">
        <f t="shared" si="129"/>
        <v>0</v>
      </c>
      <c r="DK52" s="511">
        <f t="shared" si="129"/>
        <v>0</v>
      </c>
      <c r="DL52" s="511">
        <f t="shared" si="130"/>
        <v>0</v>
      </c>
      <c r="DM52" s="512" t="str">
        <f t="shared" si="131"/>
        <v/>
      </c>
      <c r="DN52" s="3"/>
      <c r="DO52" s="3"/>
      <c r="DP52" s="511">
        <f t="shared" si="132"/>
        <v>0</v>
      </c>
      <c r="DQ52" s="512" t="str">
        <f t="shared" si="133"/>
        <v/>
      </c>
      <c r="DR52" s="511">
        <f t="shared" si="134"/>
        <v>3937.9999999999995</v>
      </c>
      <c r="DS52" s="511">
        <f t="shared" si="135"/>
        <v>5915.4</v>
      </c>
      <c r="DT52" s="511">
        <f t="shared" si="136"/>
        <v>-1977.4</v>
      </c>
      <c r="DU52" s="512">
        <f t="shared" si="137"/>
        <v>0.66571998512357566</v>
      </c>
    </row>
    <row r="53" spans="1:125" x14ac:dyDescent="0.25">
      <c r="A53" s="2" t="s">
        <v>63</v>
      </c>
      <c r="B53" s="3"/>
      <c r="C53" s="3"/>
      <c r="D53" s="511">
        <f t="shared" si="69"/>
        <v>0</v>
      </c>
      <c r="E53" s="512" t="str">
        <f t="shared" si="70"/>
        <v/>
      </c>
      <c r="F53" s="3"/>
      <c r="G53" s="3"/>
      <c r="H53" s="511">
        <f t="shared" si="71"/>
        <v>0</v>
      </c>
      <c r="I53" s="512" t="str">
        <f t="shared" si="72"/>
        <v/>
      </c>
      <c r="J53" s="3"/>
      <c r="K53" s="3"/>
      <c r="L53" s="511">
        <f t="shared" si="73"/>
        <v>0</v>
      </c>
      <c r="M53" s="512" t="str">
        <f t="shared" si="74"/>
        <v/>
      </c>
      <c r="N53" s="3"/>
      <c r="O53" s="3"/>
      <c r="P53" s="511">
        <f t="shared" si="75"/>
        <v>0</v>
      </c>
      <c r="Q53" s="512" t="str">
        <f t="shared" si="76"/>
        <v/>
      </c>
      <c r="R53" s="3"/>
      <c r="S53" s="3"/>
      <c r="T53" s="511">
        <f t="shared" si="77"/>
        <v>0</v>
      </c>
      <c r="U53" s="512" t="str">
        <f t="shared" si="78"/>
        <v/>
      </c>
      <c r="V53" s="3"/>
      <c r="W53" s="3"/>
      <c r="X53" s="511">
        <f t="shared" si="79"/>
        <v>0</v>
      </c>
      <c r="Y53" s="512" t="str">
        <f t="shared" si="80"/>
        <v/>
      </c>
      <c r="Z53" s="3"/>
      <c r="AA53" s="3"/>
      <c r="AB53" s="511">
        <f t="shared" si="81"/>
        <v>0</v>
      </c>
      <c r="AC53" s="512" t="str">
        <f t="shared" si="82"/>
        <v/>
      </c>
      <c r="AD53" s="3"/>
      <c r="AE53" s="3"/>
      <c r="AF53" s="511">
        <f t="shared" si="83"/>
        <v>0</v>
      </c>
      <c r="AG53" s="512" t="str">
        <f t="shared" si="84"/>
        <v/>
      </c>
      <c r="AH53" s="3"/>
      <c r="AI53" s="3"/>
      <c r="AJ53" s="511">
        <f t="shared" si="85"/>
        <v>0</v>
      </c>
      <c r="AK53" s="512" t="str">
        <f t="shared" si="86"/>
        <v/>
      </c>
      <c r="AL53" s="3"/>
      <c r="AM53" s="3"/>
      <c r="AN53" s="511">
        <f t="shared" si="87"/>
        <v>0</v>
      </c>
      <c r="AO53" s="512" t="str">
        <f t="shared" si="88"/>
        <v/>
      </c>
      <c r="AP53" s="3"/>
      <c r="AQ53" s="3"/>
      <c r="AR53" s="511">
        <f t="shared" si="89"/>
        <v>0</v>
      </c>
      <c r="AS53" s="512" t="str">
        <f t="shared" si="90"/>
        <v/>
      </c>
      <c r="AT53" s="3"/>
      <c r="AU53" s="3"/>
      <c r="AV53" s="511">
        <f t="shared" si="91"/>
        <v>0</v>
      </c>
      <c r="AW53" s="512" t="str">
        <f t="shared" si="92"/>
        <v/>
      </c>
      <c r="AX53" s="511">
        <f t="shared" si="93"/>
        <v>0</v>
      </c>
      <c r="AY53" s="511">
        <f t="shared" si="93"/>
        <v>0</v>
      </c>
      <c r="AZ53" s="511">
        <f t="shared" si="94"/>
        <v>0</v>
      </c>
      <c r="BA53" s="512" t="str">
        <f t="shared" si="95"/>
        <v/>
      </c>
      <c r="BB53" s="3"/>
      <c r="BC53" s="3"/>
      <c r="BD53" s="511">
        <f t="shared" si="96"/>
        <v>0</v>
      </c>
      <c r="BE53" s="512" t="str">
        <f t="shared" si="97"/>
        <v/>
      </c>
      <c r="BF53" s="3"/>
      <c r="BG53" s="3"/>
      <c r="BH53" s="511">
        <f t="shared" si="98"/>
        <v>0</v>
      </c>
      <c r="BI53" s="512" t="str">
        <f t="shared" si="99"/>
        <v/>
      </c>
      <c r="BJ53" s="3"/>
      <c r="BK53" s="3"/>
      <c r="BL53" s="511">
        <f t="shared" si="100"/>
        <v>0</v>
      </c>
      <c r="BM53" s="512" t="str">
        <f t="shared" si="101"/>
        <v/>
      </c>
      <c r="BN53" s="3"/>
      <c r="BO53" s="3"/>
      <c r="BP53" s="511">
        <f t="shared" si="102"/>
        <v>0</v>
      </c>
      <c r="BQ53" s="512" t="str">
        <f t="shared" si="103"/>
        <v/>
      </c>
      <c r="BR53" s="511">
        <f t="shared" si="104"/>
        <v>0</v>
      </c>
      <c r="BS53" s="511">
        <f t="shared" si="104"/>
        <v>0</v>
      </c>
      <c r="BT53" s="511">
        <f t="shared" si="105"/>
        <v>0</v>
      </c>
      <c r="BU53" s="512" t="str">
        <f t="shared" si="106"/>
        <v/>
      </c>
      <c r="BV53" s="3"/>
      <c r="BW53" s="3"/>
      <c r="BX53" s="511">
        <f t="shared" si="107"/>
        <v>0</v>
      </c>
      <c r="BY53" s="512" t="str">
        <f t="shared" si="108"/>
        <v/>
      </c>
      <c r="BZ53" s="3"/>
      <c r="CA53" s="3"/>
      <c r="CB53" s="511">
        <f t="shared" si="109"/>
        <v>0</v>
      </c>
      <c r="CC53" s="512" t="str">
        <f t="shared" si="110"/>
        <v/>
      </c>
      <c r="CD53" s="3"/>
      <c r="CE53" s="3"/>
      <c r="CF53" s="511">
        <f t="shared" si="111"/>
        <v>0</v>
      </c>
      <c r="CG53" s="512" t="str">
        <f t="shared" si="112"/>
        <v/>
      </c>
      <c r="CH53" s="3"/>
      <c r="CI53" s="3"/>
      <c r="CJ53" s="511">
        <f t="shared" si="113"/>
        <v>0</v>
      </c>
      <c r="CK53" s="512" t="str">
        <f t="shared" si="114"/>
        <v/>
      </c>
      <c r="CL53" s="511">
        <f t="shared" si="115"/>
        <v>0</v>
      </c>
      <c r="CM53" s="511">
        <f t="shared" si="115"/>
        <v>0</v>
      </c>
      <c r="CN53" s="511">
        <f t="shared" si="116"/>
        <v>0</v>
      </c>
      <c r="CO53" s="512" t="str">
        <f t="shared" si="117"/>
        <v/>
      </c>
      <c r="CP53" s="3"/>
      <c r="CQ53" s="3"/>
      <c r="CR53" s="511">
        <f t="shared" si="118"/>
        <v>0</v>
      </c>
      <c r="CS53" s="512" t="str">
        <f t="shared" si="119"/>
        <v/>
      </c>
      <c r="CT53" s="3"/>
      <c r="CU53" s="3"/>
      <c r="CV53" s="511">
        <f t="shared" si="120"/>
        <v>0</v>
      </c>
      <c r="CW53" s="512" t="str">
        <f t="shared" si="121"/>
        <v/>
      </c>
      <c r="CX53" s="511">
        <f t="shared" si="122"/>
        <v>0</v>
      </c>
      <c r="CY53" s="511">
        <f t="shared" si="122"/>
        <v>0</v>
      </c>
      <c r="CZ53" s="511">
        <f t="shared" si="123"/>
        <v>0</v>
      </c>
      <c r="DA53" s="512" t="str">
        <f t="shared" si="124"/>
        <v/>
      </c>
      <c r="DB53" s="3"/>
      <c r="DC53" s="3"/>
      <c r="DD53" s="511">
        <f t="shared" si="125"/>
        <v>0</v>
      </c>
      <c r="DE53" s="512" t="str">
        <f t="shared" si="126"/>
        <v/>
      </c>
      <c r="DF53" s="3"/>
      <c r="DG53" s="3"/>
      <c r="DH53" s="511">
        <f t="shared" si="127"/>
        <v>0</v>
      </c>
      <c r="DI53" s="512" t="str">
        <f t="shared" si="128"/>
        <v/>
      </c>
      <c r="DJ53" s="511">
        <f t="shared" si="129"/>
        <v>0</v>
      </c>
      <c r="DK53" s="511">
        <f t="shared" si="129"/>
        <v>0</v>
      </c>
      <c r="DL53" s="511">
        <f t="shared" si="130"/>
        <v>0</v>
      </c>
      <c r="DM53" s="512" t="str">
        <f t="shared" si="131"/>
        <v/>
      </c>
      <c r="DN53" s="3"/>
      <c r="DO53" s="3"/>
      <c r="DP53" s="511">
        <f t="shared" si="132"/>
        <v>0</v>
      </c>
      <c r="DQ53" s="512" t="str">
        <f t="shared" si="133"/>
        <v/>
      </c>
      <c r="DR53" s="511">
        <f t="shared" si="134"/>
        <v>0</v>
      </c>
      <c r="DS53" s="511">
        <f t="shared" si="135"/>
        <v>0</v>
      </c>
      <c r="DT53" s="511">
        <f t="shared" si="136"/>
        <v>0</v>
      </c>
      <c r="DU53" s="512" t="str">
        <f t="shared" si="137"/>
        <v/>
      </c>
    </row>
    <row r="54" spans="1:125" x14ac:dyDescent="0.25">
      <c r="A54" s="2" t="s">
        <v>64</v>
      </c>
      <c r="B54" s="511">
        <f>25596.31</f>
        <v>25596.31</v>
      </c>
      <c r="C54" s="511">
        <f>7813</f>
        <v>7813</v>
      </c>
      <c r="D54" s="511">
        <f t="shared" si="69"/>
        <v>17783.310000000001</v>
      </c>
      <c r="E54" s="512">
        <f t="shared" si="70"/>
        <v>3.2761180084474595</v>
      </c>
      <c r="F54" s="511">
        <f>60163.45</f>
        <v>60163.45</v>
      </c>
      <c r="G54" s="511">
        <f>58344</f>
        <v>58344</v>
      </c>
      <c r="H54" s="511">
        <f t="shared" si="71"/>
        <v>1819.4499999999971</v>
      </c>
      <c r="I54" s="512">
        <f t="shared" si="72"/>
        <v>1.0311848690525161</v>
      </c>
      <c r="J54" s="511">
        <f>63137.23</f>
        <v>63137.23</v>
      </c>
      <c r="K54" s="511">
        <f>81084.42</f>
        <v>81084.42</v>
      </c>
      <c r="L54" s="511">
        <f t="shared" si="73"/>
        <v>-17947.189999999995</v>
      </c>
      <c r="M54" s="512">
        <f t="shared" si="74"/>
        <v>0.77866043809649255</v>
      </c>
      <c r="N54" s="3"/>
      <c r="O54" s="3"/>
      <c r="P54" s="511">
        <f t="shared" si="75"/>
        <v>0</v>
      </c>
      <c r="Q54" s="512" t="str">
        <f t="shared" si="76"/>
        <v/>
      </c>
      <c r="R54" s="511">
        <f>30616.85</f>
        <v>30616.85</v>
      </c>
      <c r="S54" s="3"/>
      <c r="T54" s="511">
        <f t="shared" si="77"/>
        <v>30616.85</v>
      </c>
      <c r="U54" s="512" t="str">
        <f t="shared" si="78"/>
        <v/>
      </c>
      <c r="V54" s="511">
        <f>52451.53</f>
        <v>52451.53</v>
      </c>
      <c r="W54" s="511">
        <f>88137.35</f>
        <v>88137.35</v>
      </c>
      <c r="X54" s="511">
        <f t="shared" si="79"/>
        <v>-35685.820000000007</v>
      </c>
      <c r="Y54" s="512">
        <f t="shared" si="80"/>
        <v>0.59511126667638625</v>
      </c>
      <c r="Z54" s="511">
        <f>864.91</f>
        <v>864.91</v>
      </c>
      <c r="AA54" s="3"/>
      <c r="AB54" s="511">
        <f t="shared" si="81"/>
        <v>864.91</v>
      </c>
      <c r="AC54" s="512" t="str">
        <f t="shared" si="82"/>
        <v/>
      </c>
      <c r="AD54" s="511">
        <f>691.83</f>
        <v>691.83</v>
      </c>
      <c r="AE54" s="3"/>
      <c r="AF54" s="511">
        <f t="shared" si="83"/>
        <v>691.83</v>
      </c>
      <c r="AG54" s="512" t="str">
        <f t="shared" si="84"/>
        <v/>
      </c>
      <c r="AH54" s="511">
        <f>19114.64</f>
        <v>19114.64</v>
      </c>
      <c r="AI54" s="3"/>
      <c r="AJ54" s="511">
        <f t="shared" si="85"/>
        <v>19114.64</v>
      </c>
      <c r="AK54" s="512" t="str">
        <f t="shared" si="86"/>
        <v/>
      </c>
      <c r="AL54" s="511">
        <f>14344.19</f>
        <v>14344.19</v>
      </c>
      <c r="AM54" s="3"/>
      <c r="AN54" s="511">
        <f t="shared" si="87"/>
        <v>14344.19</v>
      </c>
      <c r="AO54" s="512" t="str">
        <f t="shared" si="88"/>
        <v/>
      </c>
      <c r="AP54" s="511">
        <f>6650.7</f>
        <v>6650.7</v>
      </c>
      <c r="AQ54" s="3"/>
      <c r="AR54" s="511">
        <f t="shared" si="89"/>
        <v>6650.7</v>
      </c>
      <c r="AS54" s="512" t="str">
        <f t="shared" si="90"/>
        <v/>
      </c>
      <c r="AT54" s="511">
        <f>7780.78</f>
        <v>7780.78</v>
      </c>
      <c r="AU54" s="3"/>
      <c r="AV54" s="511">
        <f t="shared" si="91"/>
        <v>7780.78</v>
      </c>
      <c r="AW54" s="512" t="str">
        <f t="shared" si="92"/>
        <v/>
      </c>
      <c r="AX54" s="511">
        <f t="shared" si="93"/>
        <v>101898.58</v>
      </c>
      <c r="AY54" s="511">
        <f t="shared" si="93"/>
        <v>88137.35</v>
      </c>
      <c r="AZ54" s="511">
        <f t="shared" si="94"/>
        <v>13761.229999999996</v>
      </c>
      <c r="BA54" s="512">
        <f t="shared" si="95"/>
        <v>1.1561339205229111</v>
      </c>
      <c r="BB54" s="511">
        <f>32721.7</f>
        <v>32721.7</v>
      </c>
      <c r="BC54" s="511">
        <f>44638.54</f>
        <v>44638.54</v>
      </c>
      <c r="BD54" s="511">
        <f t="shared" si="96"/>
        <v>-11916.84</v>
      </c>
      <c r="BE54" s="512">
        <f t="shared" si="97"/>
        <v>0.7330369676069155</v>
      </c>
      <c r="BF54" s="511">
        <f>3816.64</f>
        <v>3816.64</v>
      </c>
      <c r="BG54" s="3"/>
      <c r="BH54" s="511">
        <f t="shared" si="98"/>
        <v>3816.64</v>
      </c>
      <c r="BI54" s="512" t="str">
        <f t="shared" si="99"/>
        <v/>
      </c>
      <c r="BJ54" s="511">
        <f>12190.17</f>
        <v>12190.17</v>
      </c>
      <c r="BK54" s="3"/>
      <c r="BL54" s="511">
        <f t="shared" si="100"/>
        <v>12190.17</v>
      </c>
      <c r="BM54" s="512" t="str">
        <f t="shared" si="101"/>
        <v/>
      </c>
      <c r="BN54" s="511">
        <f>2644.81</f>
        <v>2644.81</v>
      </c>
      <c r="BO54" s="3"/>
      <c r="BP54" s="511">
        <f t="shared" si="102"/>
        <v>2644.81</v>
      </c>
      <c r="BQ54" s="512" t="str">
        <f t="shared" si="103"/>
        <v/>
      </c>
      <c r="BR54" s="511">
        <f t="shared" si="104"/>
        <v>51373.32</v>
      </c>
      <c r="BS54" s="511">
        <f t="shared" si="104"/>
        <v>44638.54</v>
      </c>
      <c r="BT54" s="511">
        <f t="shared" si="105"/>
        <v>6734.7799999999988</v>
      </c>
      <c r="BU54" s="512">
        <f t="shared" si="106"/>
        <v>1.1508736620866185</v>
      </c>
      <c r="BV54" s="511">
        <f>38124.13</f>
        <v>38124.129999999997</v>
      </c>
      <c r="BW54" s="511">
        <f>22168.19</f>
        <v>22168.19</v>
      </c>
      <c r="BX54" s="511">
        <f t="shared" si="107"/>
        <v>15955.939999999999</v>
      </c>
      <c r="BY54" s="512">
        <f t="shared" si="108"/>
        <v>1.7197673783921916</v>
      </c>
      <c r="BZ54" s="511">
        <f>29035.69</f>
        <v>29035.69</v>
      </c>
      <c r="CA54" s="511">
        <f>36911</f>
        <v>36911</v>
      </c>
      <c r="CB54" s="511">
        <f t="shared" si="109"/>
        <v>-7875.3100000000013</v>
      </c>
      <c r="CC54" s="512">
        <f t="shared" si="110"/>
        <v>0.78664056785240166</v>
      </c>
      <c r="CD54" s="511">
        <f>7588.45</f>
        <v>7588.45</v>
      </c>
      <c r="CE54" s="3"/>
      <c r="CF54" s="511">
        <f t="shared" si="111"/>
        <v>7588.45</v>
      </c>
      <c r="CG54" s="512" t="str">
        <f t="shared" si="112"/>
        <v/>
      </c>
      <c r="CH54" s="3"/>
      <c r="CI54" s="3"/>
      <c r="CJ54" s="511">
        <f t="shared" si="113"/>
        <v>0</v>
      </c>
      <c r="CK54" s="512" t="str">
        <f t="shared" si="114"/>
        <v/>
      </c>
      <c r="CL54" s="511">
        <f t="shared" si="115"/>
        <v>7588.45</v>
      </c>
      <c r="CM54" s="511">
        <f t="shared" si="115"/>
        <v>0</v>
      </c>
      <c r="CN54" s="511">
        <f t="shared" si="116"/>
        <v>7588.45</v>
      </c>
      <c r="CO54" s="512" t="str">
        <f t="shared" si="117"/>
        <v/>
      </c>
      <c r="CP54" s="511">
        <f>6363</f>
        <v>6363</v>
      </c>
      <c r="CQ54" s="3"/>
      <c r="CR54" s="511">
        <f t="shared" si="118"/>
        <v>6363</v>
      </c>
      <c r="CS54" s="512" t="str">
        <f t="shared" si="119"/>
        <v/>
      </c>
      <c r="CT54" s="511">
        <f>12166.83</f>
        <v>12166.83</v>
      </c>
      <c r="CU54" s="511">
        <f>20800</f>
        <v>20800</v>
      </c>
      <c r="CV54" s="511">
        <f t="shared" si="120"/>
        <v>-8633.17</v>
      </c>
      <c r="CW54" s="512">
        <f t="shared" si="121"/>
        <v>0.58494374999999998</v>
      </c>
      <c r="CX54" s="511">
        <f t="shared" si="122"/>
        <v>18529.830000000002</v>
      </c>
      <c r="CY54" s="511">
        <f t="shared" si="122"/>
        <v>20800</v>
      </c>
      <c r="CZ54" s="511">
        <f t="shared" si="123"/>
        <v>-2270.1699999999983</v>
      </c>
      <c r="DA54" s="512">
        <f t="shared" si="124"/>
        <v>0.89085721153846165</v>
      </c>
      <c r="DB54" s="3"/>
      <c r="DC54" s="3"/>
      <c r="DD54" s="511">
        <f t="shared" si="125"/>
        <v>0</v>
      </c>
      <c r="DE54" s="512" t="str">
        <f t="shared" si="126"/>
        <v/>
      </c>
      <c r="DF54" s="511">
        <f>14733</f>
        <v>14733</v>
      </c>
      <c r="DG54" s="3"/>
      <c r="DH54" s="511">
        <f t="shared" si="127"/>
        <v>14733</v>
      </c>
      <c r="DI54" s="512" t="str">
        <f t="shared" si="128"/>
        <v/>
      </c>
      <c r="DJ54" s="511">
        <f t="shared" si="129"/>
        <v>14733</v>
      </c>
      <c r="DK54" s="511">
        <f t="shared" si="129"/>
        <v>0</v>
      </c>
      <c r="DL54" s="511">
        <f t="shared" si="130"/>
        <v>14733</v>
      </c>
      <c r="DM54" s="512" t="str">
        <f t="shared" si="131"/>
        <v/>
      </c>
      <c r="DN54" s="3"/>
      <c r="DO54" s="3"/>
      <c r="DP54" s="511">
        <f t="shared" si="132"/>
        <v>0</v>
      </c>
      <c r="DQ54" s="512" t="str">
        <f t="shared" si="133"/>
        <v/>
      </c>
      <c r="DR54" s="511">
        <f t="shared" si="134"/>
        <v>440796.84</v>
      </c>
      <c r="DS54" s="511">
        <f t="shared" si="135"/>
        <v>359896.5</v>
      </c>
      <c r="DT54" s="511">
        <f t="shared" si="136"/>
        <v>80900.340000000026</v>
      </c>
      <c r="DU54" s="512">
        <f t="shared" si="137"/>
        <v>1.2247877931571993</v>
      </c>
    </row>
    <row r="55" spans="1:125" x14ac:dyDescent="0.25">
      <c r="A55" s="2" t="s">
        <v>717</v>
      </c>
      <c r="B55" s="511">
        <f>630</f>
        <v>630</v>
      </c>
      <c r="C55" s="3"/>
      <c r="D55" s="511">
        <f t="shared" si="69"/>
        <v>630</v>
      </c>
      <c r="E55" s="512" t="str">
        <f t="shared" si="70"/>
        <v/>
      </c>
      <c r="F55" s="3"/>
      <c r="G55" s="3"/>
      <c r="H55" s="511">
        <f t="shared" si="71"/>
        <v>0</v>
      </c>
      <c r="I55" s="512" t="str">
        <f t="shared" si="72"/>
        <v/>
      </c>
      <c r="J55" s="3"/>
      <c r="K55" s="3"/>
      <c r="L55" s="511">
        <f t="shared" si="73"/>
        <v>0</v>
      </c>
      <c r="M55" s="512" t="str">
        <f t="shared" si="74"/>
        <v/>
      </c>
      <c r="N55" s="3"/>
      <c r="O55" s="3"/>
      <c r="P55" s="511">
        <f t="shared" si="75"/>
        <v>0</v>
      </c>
      <c r="Q55" s="512" t="str">
        <f t="shared" si="76"/>
        <v/>
      </c>
      <c r="R55" s="3"/>
      <c r="S55" s="3"/>
      <c r="T55" s="511">
        <f t="shared" si="77"/>
        <v>0</v>
      </c>
      <c r="U55" s="512" t="str">
        <f t="shared" si="78"/>
        <v/>
      </c>
      <c r="V55" s="3"/>
      <c r="W55" s="3"/>
      <c r="X55" s="511">
        <f t="shared" si="79"/>
        <v>0</v>
      </c>
      <c r="Y55" s="512" t="str">
        <f t="shared" si="80"/>
        <v/>
      </c>
      <c r="Z55" s="3"/>
      <c r="AA55" s="3"/>
      <c r="AB55" s="511">
        <f t="shared" si="81"/>
        <v>0</v>
      </c>
      <c r="AC55" s="512" t="str">
        <f t="shared" si="82"/>
        <v/>
      </c>
      <c r="AD55" s="3"/>
      <c r="AE55" s="3"/>
      <c r="AF55" s="511">
        <f t="shared" si="83"/>
        <v>0</v>
      </c>
      <c r="AG55" s="512" t="str">
        <f t="shared" si="84"/>
        <v/>
      </c>
      <c r="AH55" s="3"/>
      <c r="AI55" s="3"/>
      <c r="AJ55" s="511">
        <f t="shared" si="85"/>
        <v>0</v>
      </c>
      <c r="AK55" s="512" t="str">
        <f t="shared" si="86"/>
        <v/>
      </c>
      <c r="AL55" s="3"/>
      <c r="AM55" s="3"/>
      <c r="AN55" s="511">
        <f t="shared" si="87"/>
        <v>0</v>
      </c>
      <c r="AO55" s="512" t="str">
        <f t="shared" si="88"/>
        <v/>
      </c>
      <c r="AP55" s="3"/>
      <c r="AQ55" s="3"/>
      <c r="AR55" s="511">
        <f t="shared" si="89"/>
        <v>0</v>
      </c>
      <c r="AS55" s="512" t="str">
        <f t="shared" si="90"/>
        <v/>
      </c>
      <c r="AT55" s="3"/>
      <c r="AU55" s="3"/>
      <c r="AV55" s="511">
        <f t="shared" si="91"/>
        <v>0</v>
      </c>
      <c r="AW55" s="512" t="str">
        <f t="shared" si="92"/>
        <v/>
      </c>
      <c r="AX55" s="511">
        <f t="shared" si="93"/>
        <v>0</v>
      </c>
      <c r="AY55" s="511">
        <f t="shared" si="93"/>
        <v>0</v>
      </c>
      <c r="AZ55" s="511">
        <f t="shared" si="94"/>
        <v>0</v>
      </c>
      <c r="BA55" s="512" t="str">
        <f t="shared" si="95"/>
        <v/>
      </c>
      <c r="BB55" s="3"/>
      <c r="BC55" s="3"/>
      <c r="BD55" s="511">
        <f t="shared" si="96"/>
        <v>0</v>
      </c>
      <c r="BE55" s="512" t="str">
        <f t="shared" si="97"/>
        <v/>
      </c>
      <c r="BF55" s="3"/>
      <c r="BG55" s="3"/>
      <c r="BH55" s="511">
        <f t="shared" si="98"/>
        <v>0</v>
      </c>
      <c r="BI55" s="512" t="str">
        <f t="shared" si="99"/>
        <v/>
      </c>
      <c r="BJ55" s="3"/>
      <c r="BK55" s="3"/>
      <c r="BL55" s="511">
        <f t="shared" si="100"/>
        <v>0</v>
      </c>
      <c r="BM55" s="512" t="str">
        <f t="shared" si="101"/>
        <v/>
      </c>
      <c r="BN55" s="3"/>
      <c r="BO55" s="3"/>
      <c r="BP55" s="511">
        <f t="shared" si="102"/>
        <v>0</v>
      </c>
      <c r="BQ55" s="512" t="str">
        <f t="shared" si="103"/>
        <v/>
      </c>
      <c r="BR55" s="511">
        <f t="shared" si="104"/>
        <v>0</v>
      </c>
      <c r="BS55" s="511">
        <f t="shared" si="104"/>
        <v>0</v>
      </c>
      <c r="BT55" s="511">
        <f t="shared" si="105"/>
        <v>0</v>
      </c>
      <c r="BU55" s="512" t="str">
        <f t="shared" si="106"/>
        <v/>
      </c>
      <c r="BV55" s="3"/>
      <c r="BW55" s="3"/>
      <c r="BX55" s="511">
        <f t="shared" si="107"/>
        <v>0</v>
      </c>
      <c r="BY55" s="512" t="str">
        <f t="shared" si="108"/>
        <v/>
      </c>
      <c r="BZ55" s="3"/>
      <c r="CA55" s="3"/>
      <c r="CB55" s="511">
        <f t="shared" si="109"/>
        <v>0</v>
      </c>
      <c r="CC55" s="512" t="str">
        <f t="shared" si="110"/>
        <v/>
      </c>
      <c r="CD55" s="3"/>
      <c r="CE55" s="3"/>
      <c r="CF55" s="511">
        <f t="shared" si="111"/>
        <v>0</v>
      </c>
      <c r="CG55" s="512" t="str">
        <f t="shared" si="112"/>
        <v/>
      </c>
      <c r="CH55" s="3"/>
      <c r="CI55" s="3"/>
      <c r="CJ55" s="511">
        <f t="shared" si="113"/>
        <v>0</v>
      </c>
      <c r="CK55" s="512" t="str">
        <f t="shared" si="114"/>
        <v/>
      </c>
      <c r="CL55" s="511">
        <f t="shared" si="115"/>
        <v>0</v>
      </c>
      <c r="CM55" s="511">
        <f t="shared" si="115"/>
        <v>0</v>
      </c>
      <c r="CN55" s="511">
        <f t="shared" si="116"/>
        <v>0</v>
      </c>
      <c r="CO55" s="512" t="str">
        <f t="shared" si="117"/>
        <v/>
      </c>
      <c r="CP55" s="3"/>
      <c r="CQ55" s="3"/>
      <c r="CR55" s="511">
        <f t="shared" si="118"/>
        <v>0</v>
      </c>
      <c r="CS55" s="512" t="str">
        <f t="shared" si="119"/>
        <v/>
      </c>
      <c r="CT55" s="3"/>
      <c r="CU55" s="3"/>
      <c r="CV55" s="511">
        <f t="shared" si="120"/>
        <v>0</v>
      </c>
      <c r="CW55" s="512" t="str">
        <f t="shared" si="121"/>
        <v/>
      </c>
      <c r="CX55" s="511">
        <f t="shared" si="122"/>
        <v>0</v>
      </c>
      <c r="CY55" s="511">
        <f t="shared" si="122"/>
        <v>0</v>
      </c>
      <c r="CZ55" s="511">
        <f t="shared" si="123"/>
        <v>0</v>
      </c>
      <c r="DA55" s="512" t="str">
        <f t="shared" si="124"/>
        <v/>
      </c>
      <c r="DB55" s="3"/>
      <c r="DC55" s="3"/>
      <c r="DD55" s="511">
        <f t="shared" si="125"/>
        <v>0</v>
      </c>
      <c r="DE55" s="512" t="str">
        <f t="shared" si="126"/>
        <v/>
      </c>
      <c r="DF55" s="3"/>
      <c r="DG55" s="3"/>
      <c r="DH55" s="511">
        <f t="shared" si="127"/>
        <v>0</v>
      </c>
      <c r="DI55" s="512" t="str">
        <f t="shared" si="128"/>
        <v/>
      </c>
      <c r="DJ55" s="511">
        <f t="shared" si="129"/>
        <v>0</v>
      </c>
      <c r="DK55" s="511">
        <f t="shared" si="129"/>
        <v>0</v>
      </c>
      <c r="DL55" s="511">
        <f t="shared" si="130"/>
        <v>0</v>
      </c>
      <c r="DM55" s="512" t="str">
        <f t="shared" si="131"/>
        <v/>
      </c>
      <c r="DN55" s="3"/>
      <c r="DO55" s="3"/>
      <c r="DP55" s="511">
        <f t="shared" si="132"/>
        <v>0</v>
      </c>
      <c r="DQ55" s="512" t="str">
        <f t="shared" si="133"/>
        <v/>
      </c>
      <c r="DR55" s="511">
        <f t="shared" si="134"/>
        <v>630</v>
      </c>
      <c r="DS55" s="511">
        <f t="shared" si="135"/>
        <v>0</v>
      </c>
      <c r="DT55" s="511">
        <f t="shared" si="136"/>
        <v>630</v>
      </c>
      <c r="DU55" s="512" t="str">
        <f t="shared" si="137"/>
        <v/>
      </c>
    </row>
    <row r="56" spans="1:125" x14ac:dyDescent="0.25">
      <c r="A56" s="2" t="s">
        <v>718</v>
      </c>
      <c r="B56" s="511">
        <f>39.14</f>
        <v>39.14</v>
      </c>
      <c r="C56" s="3"/>
      <c r="D56" s="511">
        <f t="shared" si="69"/>
        <v>39.14</v>
      </c>
      <c r="E56" s="512" t="str">
        <f t="shared" si="70"/>
        <v/>
      </c>
      <c r="F56" s="511">
        <f>994.53</f>
        <v>994.53</v>
      </c>
      <c r="G56" s="3"/>
      <c r="H56" s="511">
        <f t="shared" si="71"/>
        <v>994.53</v>
      </c>
      <c r="I56" s="512" t="str">
        <f t="shared" si="72"/>
        <v/>
      </c>
      <c r="J56" s="511">
        <f>2682.65</f>
        <v>2682.65</v>
      </c>
      <c r="K56" s="3"/>
      <c r="L56" s="511">
        <f t="shared" si="73"/>
        <v>2682.65</v>
      </c>
      <c r="M56" s="512" t="str">
        <f t="shared" si="74"/>
        <v/>
      </c>
      <c r="N56" s="3"/>
      <c r="O56" s="3"/>
      <c r="P56" s="511">
        <f t="shared" si="75"/>
        <v>0</v>
      </c>
      <c r="Q56" s="512" t="str">
        <f t="shared" si="76"/>
        <v/>
      </c>
      <c r="R56" s="511">
        <f>595.98</f>
        <v>595.98</v>
      </c>
      <c r="S56" s="3"/>
      <c r="T56" s="511">
        <f t="shared" si="77"/>
        <v>595.98</v>
      </c>
      <c r="U56" s="512" t="str">
        <f t="shared" si="78"/>
        <v/>
      </c>
      <c r="V56" s="511">
        <f>1390.11</f>
        <v>1390.11</v>
      </c>
      <c r="W56" s="3"/>
      <c r="X56" s="511">
        <f t="shared" si="79"/>
        <v>1390.11</v>
      </c>
      <c r="Y56" s="512" t="str">
        <f t="shared" si="80"/>
        <v/>
      </c>
      <c r="Z56" s="511">
        <f>21.2</f>
        <v>21.2</v>
      </c>
      <c r="AA56" s="3"/>
      <c r="AB56" s="511">
        <f t="shared" si="81"/>
        <v>21.2</v>
      </c>
      <c r="AC56" s="512" t="str">
        <f t="shared" si="82"/>
        <v/>
      </c>
      <c r="AD56" s="511">
        <f>20.65</f>
        <v>20.65</v>
      </c>
      <c r="AE56" s="3"/>
      <c r="AF56" s="511">
        <f t="shared" si="83"/>
        <v>20.65</v>
      </c>
      <c r="AG56" s="512" t="str">
        <f t="shared" si="84"/>
        <v/>
      </c>
      <c r="AH56" s="511">
        <f>521.71</f>
        <v>521.71</v>
      </c>
      <c r="AI56" s="3"/>
      <c r="AJ56" s="511">
        <f t="shared" si="85"/>
        <v>521.71</v>
      </c>
      <c r="AK56" s="512" t="str">
        <f t="shared" si="86"/>
        <v/>
      </c>
      <c r="AL56" s="511">
        <f>308.39</f>
        <v>308.39</v>
      </c>
      <c r="AM56" s="3"/>
      <c r="AN56" s="511">
        <f t="shared" si="87"/>
        <v>308.39</v>
      </c>
      <c r="AO56" s="512" t="str">
        <f t="shared" si="88"/>
        <v/>
      </c>
      <c r="AP56" s="511">
        <f>154.58</f>
        <v>154.58000000000001</v>
      </c>
      <c r="AQ56" s="3"/>
      <c r="AR56" s="511">
        <f t="shared" si="89"/>
        <v>154.58000000000001</v>
      </c>
      <c r="AS56" s="512" t="str">
        <f t="shared" si="90"/>
        <v/>
      </c>
      <c r="AT56" s="511">
        <f>152.73</f>
        <v>152.72999999999999</v>
      </c>
      <c r="AU56" s="3"/>
      <c r="AV56" s="511">
        <f t="shared" si="91"/>
        <v>152.72999999999999</v>
      </c>
      <c r="AW56" s="512" t="str">
        <f t="shared" si="92"/>
        <v/>
      </c>
      <c r="AX56" s="511">
        <f t="shared" si="93"/>
        <v>2569.37</v>
      </c>
      <c r="AY56" s="511">
        <f t="shared" si="93"/>
        <v>0</v>
      </c>
      <c r="AZ56" s="511">
        <f t="shared" si="94"/>
        <v>2569.37</v>
      </c>
      <c r="BA56" s="512" t="str">
        <f t="shared" si="95"/>
        <v/>
      </c>
      <c r="BB56" s="511">
        <f>573.25</f>
        <v>573.25</v>
      </c>
      <c r="BC56" s="3"/>
      <c r="BD56" s="511">
        <f t="shared" si="96"/>
        <v>573.25</v>
      </c>
      <c r="BE56" s="512" t="str">
        <f t="shared" si="97"/>
        <v/>
      </c>
      <c r="BF56" s="511">
        <f>85.32</f>
        <v>85.32</v>
      </c>
      <c r="BG56" s="3"/>
      <c r="BH56" s="511">
        <f t="shared" si="98"/>
        <v>85.32</v>
      </c>
      <c r="BI56" s="512" t="str">
        <f t="shared" si="99"/>
        <v/>
      </c>
      <c r="BJ56" s="511">
        <f>211.58</f>
        <v>211.58</v>
      </c>
      <c r="BK56" s="3"/>
      <c r="BL56" s="511">
        <f t="shared" si="100"/>
        <v>211.58</v>
      </c>
      <c r="BM56" s="512" t="str">
        <f t="shared" si="101"/>
        <v/>
      </c>
      <c r="BN56" s="511">
        <f>29.86</f>
        <v>29.86</v>
      </c>
      <c r="BO56" s="3"/>
      <c r="BP56" s="511">
        <f t="shared" si="102"/>
        <v>29.86</v>
      </c>
      <c r="BQ56" s="512" t="str">
        <f t="shared" si="103"/>
        <v/>
      </c>
      <c r="BR56" s="511">
        <f t="shared" si="104"/>
        <v>900.01</v>
      </c>
      <c r="BS56" s="511">
        <f t="shared" si="104"/>
        <v>0</v>
      </c>
      <c r="BT56" s="511">
        <f t="shared" si="105"/>
        <v>900.01</v>
      </c>
      <c r="BU56" s="512" t="str">
        <f t="shared" si="106"/>
        <v/>
      </c>
      <c r="BV56" s="511">
        <f>1758.61</f>
        <v>1758.61</v>
      </c>
      <c r="BW56" s="3"/>
      <c r="BX56" s="511">
        <f t="shared" si="107"/>
        <v>1758.61</v>
      </c>
      <c r="BY56" s="512" t="str">
        <f t="shared" si="108"/>
        <v/>
      </c>
      <c r="BZ56" s="511">
        <f>745</f>
        <v>745</v>
      </c>
      <c r="CA56" s="3"/>
      <c r="CB56" s="511">
        <f t="shared" si="109"/>
        <v>745</v>
      </c>
      <c r="CC56" s="512" t="str">
        <f t="shared" si="110"/>
        <v/>
      </c>
      <c r="CD56" s="511">
        <f>231.06</f>
        <v>231.06</v>
      </c>
      <c r="CE56" s="3"/>
      <c r="CF56" s="511">
        <f t="shared" si="111"/>
        <v>231.06</v>
      </c>
      <c r="CG56" s="512" t="str">
        <f t="shared" si="112"/>
        <v/>
      </c>
      <c r="CH56" s="3"/>
      <c r="CI56" s="3"/>
      <c r="CJ56" s="511">
        <f t="shared" si="113"/>
        <v>0</v>
      </c>
      <c r="CK56" s="512" t="str">
        <f t="shared" si="114"/>
        <v/>
      </c>
      <c r="CL56" s="511">
        <f t="shared" si="115"/>
        <v>231.06</v>
      </c>
      <c r="CM56" s="511">
        <f t="shared" si="115"/>
        <v>0</v>
      </c>
      <c r="CN56" s="511">
        <f t="shared" si="116"/>
        <v>231.06</v>
      </c>
      <c r="CO56" s="512" t="str">
        <f t="shared" si="117"/>
        <v/>
      </c>
      <c r="CP56" s="511">
        <f>307.91</f>
        <v>307.91000000000003</v>
      </c>
      <c r="CQ56" s="3"/>
      <c r="CR56" s="511">
        <f t="shared" si="118"/>
        <v>307.91000000000003</v>
      </c>
      <c r="CS56" s="512" t="str">
        <f t="shared" si="119"/>
        <v/>
      </c>
      <c r="CT56" s="511">
        <f>169.57</f>
        <v>169.57</v>
      </c>
      <c r="CU56" s="3"/>
      <c r="CV56" s="511">
        <f t="shared" si="120"/>
        <v>169.57</v>
      </c>
      <c r="CW56" s="512" t="str">
        <f t="shared" si="121"/>
        <v/>
      </c>
      <c r="CX56" s="511">
        <f t="shared" si="122"/>
        <v>477.48</v>
      </c>
      <c r="CY56" s="511">
        <f t="shared" si="122"/>
        <v>0</v>
      </c>
      <c r="CZ56" s="511">
        <f t="shared" si="123"/>
        <v>477.48</v>
      </c>
      <c r="DA56" s="512" t="str">
        <f t="shared" si="124"/>
        <v/>
      </c>
      <c r="DB56" s="3"/>
      <c r="DC56" s="3"/>
      <c r="DD56" s="511">
        <f t="shared" si="125"/>
        <v>0</v>
      </c>
      <c r="DE56" s="512" t="str">
        <f t="shared" si="126"/>
        <v/>
      </c>
      <c r="DF56" s="511">
        <f>350.03</f>
        <v>350.03</v>
      </c>
      <c r="DG56" s="3"/>
      <c r="DH56" s="511">
        <f t="shared" si="127"/>
        <v>350.03</v>
      </c>
      <c r="DI56" s="512" t="str">
        <f t="shared" si="128"/>
        <v/>
      </c>
      <c r="DJ56" s="511">
        <f t="shared" si="129"/>
        <v>350.03</v>
      </c>
      <c r="DK56" s="511">
        <f t="shared" si="129"/>
        <v>0</v>
      </c>
      <c r="DL56" s="511">
        <f t="shared" si="130"/>
        <v>350.03</v>
      </c>
      <c r="DM56" s="512" t="str">
        <f t="shared" si="131"/>
        <v/>
      </c>
      <c r="DN56" s="3"/>
      <c r="DO56" s="3"/>
      <c r="DP56" s="511">
        <f t="shared" si="132"/>
        <v>0</v>
      </c>
      <c r="DQ56" s="512" t="str">
        <f t="shared" si="133"/>
        <v/>
      </c>
      <c r="DR56" s="511">
        <f t="shared" si="134"/>
        <v>11343.86</v>
      </c>
      <c r="DS56" s="511">
        <f t="shared" si="135"/>
        <v>0</v>
      </c>
      <c r="DT56" s="511">
        <f t="shared" si="136"/>
        <v>11343.86</v>
      </c>
      <c r="DU56" s="512" t="str">
        <f t="shared" si="137"/>
        <v/>
      </c>
    </row>
    <row r="57" spans="1:125" x14ac:dyDescent="0.25">
      <c r="A57" s="2" t="s">
        <v>719</v>
      </c>
      <c r="B57" s="511">
        <f>0</f>
        <v>0</v>
      </c>
      <c r="C57" s="3"/>
      <c r="D57" s="511">
        <f t="shared" si="69"/>
        <v>0</v>
      </c>
      <c r="E57" s="512" t="str">
        <f t="shared" si="70"/>
        <v/>
      </c>
      <c r="F57" s="3"/>
      <c r="G57" s="3"/>
      <c r="H57" s="511">
        <f t="shared" si="71"/>
        <v>0</v>
      </c>
      <c r="I57" s="512" t="str">
        <f t="shared" si="72"/>
        <v/>
      </c>
      <c r="J57" s="3"/>
      <c r="K57" s="3"/>
      <c r="L57" s="511">
        <f t="shared" si="73"/>
        <v>0</v>
      </c>
      <c r="M57" s="512" t="str">
        <f t="shared" si="74"/>
        <v/>
      </c>
      <c r="N57" s="3"/>
      <c r="O57" s="3"/>
      <c r="P57" s="511">
        <f t="shared" si="75"/>
        <v>0</v>
      </c>
      <c r="Q57" s="512" t="str">
        <f t="shared" si="76"/>
        <v/>
      </c>
      <c r="R57" s="3"/>
      <c r="S57" s="3"/>
      <c r="T57" s="511">
        <f t="shared" si="77"/>
        <v>0</v>
      </c>
      <c r="U57" s="512" t="str">
        <f t="shared" si="78"/>
        <v/>
      </c>
      <c r="V57" s="3"/>
      <c r="W57" s="3"/>
      <c r="X57" s="511">
        <f t="shared" si="79"/>
        <v>0</v>
      </c>
      <c r="Y57" s="512" t="str">
        <f t="shared" si="80"/>
        <v/>
      </c>
      <c r="Z57" s="3"/>
      <c r="AA57" s="3"/>
      <c r="AB57" s="511">
        <f t="shared" si="81"/>
        <v>0</v>
      </c>
      <c r="AC57" s="512" t="str">
        <f t="shared" si="82"/>
        <v/>
      </c>
      <c r="AD57" s="3"/>
      <c r="AE57" s="3"/>
      <c r="AF57" s="511">
        <f t="shared" si="83"/>
        <v>0</v>
      </c>
      <c r="AG57" s="512" t="str">
        <f t="shared" si="84"/>
        <v/>
      </c>
      <c r="AH57" s="3"/>
      <c r="AI57" s="3"/>
      <c r="AJ57" s="511">
        <f t="shared" si="85"/>
        <v>0</v>
      </c>
      <c r="AK57" s="512" t="str">
        <f t="shared" si="86"/>
        <v/>
      </c>
      <c r="AL57" s="3"/>
      <c r="AM57" s="3"/>
      <c r="AN57" s="511">
        <f t="shared" si="87"/>
        <v>0</v>
      </c>
      <c r="AO57" s="512" t="str">
        <f t="shared" si="88"/>
        <v/>
      </c>
      <c r="AP57" s="3"/>
      <c r="AQ57" s="3"/>
      <c r="AR57" s="511">
        <f t="shared" si="89"/>
        <v>0</v>
      </c>
      <c r="AS57" s="512" t="str">
        <f t="shared" si="90"/>
        <v/>
      </c>
      <c r="AT57" s="3"/>
      <c r="AU57" s="3"/>
      <c r="AV57" s="511">
        <f t="shared" si="91"/>
        <v>0</v>
      </c>
      <c r="AW57" s="512" t="str">
        <f t="shared" si="92"/>
        <v/>
      </c>
      <c r="AX57" s="511">
        <f t="shared" si="93"/>
        <v>0</v>
      </c>
      <c r="AY57" s="511">
        <f t="shared" si="93"/>
        <v>0</v>
      </c>
      <c r="AZ57" s="511">
        <f t="shared" si="94"/>
        <v>0</v>
      </c>
      <c r="BA57" s="512" t="str">
        <f t="shared" si="95"/>
        <v/>
      </c>
      <c r="BB57" s="3"/>
      <c r="BC57" s="3"/>
      <c r="BD57" s="511">
        <f t="shared" si="96"/>
        <v>0</v>
      </c>
      <c r="BE57" s="512" t="str">
        <f t="shared" si="97"/>
        <v/>
      </c>
      <c r="BF57" s="3"/>
      <c r="BG57" s="3"/>
      <c r="BH57" s="511">
        <f t="shared" si="98"/>
        <v>0</v>
      </c>
      <c r="BI57" s="512" t="str">
        <f t="shared" si="99"/>
        <v/>
      </c>
      <c r="BJ57" s="3"/>
      <c r="BK57" s="3"/>
      <c r="BL57" s="511">
        <f t="shared" si="100"/>
        <v>0</v>
      </c>
      <c r="BM57" s="512" t="str">
        <f t="shared" si="101"/>
        <v/>
      </c>
      <c r="BN57" s="3"/>
      <c r="BO57" s="3"/>
      <c r="BP57" s="511">
        <f t="shared" si="102"/>
        <v>0</v>
      </c>
      <c r="BQ57" s="512" t="str">
        <f t="shared" si="103"/>
        <v/>
      </c>
      <c r="BR57" s="511">
        <f t="shared" si="104"/>
        <v>0</v>
      </c>
      <c r="BS57" s="511">
        <f t="shared" si="104"/>
        <v>0</v>
      </c>
      <c r="BT57" s="511">
        <f t="shared" si="105"/>
        <v>0</v>
      </c>
      <c r="BU57" s="512" t="str">
        <f t="shared" si="106"/>
        <v/>
      </c>
      <c r="BV57" s="3"/>
      <c r="BW57" s="3"/>
      <c r="BX57" s="511">
        <f t="shared" si="107"/>
        <v>0</v>
      </c>
      <c r="BY57" s="512" t="str">
        <f t="shared" si="108"/>
        <v/>
      </c>
      <c r="BZ57" s="511">
        <f>6750</f>
        <v>6750</v>
      </c>
      <c r="CA57" s="511">
        <f>6500</f>
        <v>6500</v>
      </c>
      <c r="CB57" s="511">
        <f t="shared" si="109"/>
        <v>250</v>
      </c>
      <c r="CC57" s="512">
        <f t="shared" si="110"/>
        <v>1.0384615384615385</v>
      </c>
      <c r="CD57" s="3"/>
      <c r="CE57" s="3"/>
      <c r="CF57" s="511">
        <f t="shared" si="111"/>
        <v>0</v>
      </c>
      <c r="CG57" s="512" t="str">
        <f t="shared" si="112"/>
        <v/>
      </c>
      <c r="CH57" s="3"/>
      <c r="CI57" s="3"/>
      <c r="CJ57" s="511">
        <f t="shared" si="113"/>
        <v>0</v>
      </c>
      <c r="CK57" s="512" t="str">
        <f t="shared" si="114"/>
        <v/>
      </c>
      <c r="CL57" s="511">
        <f t="shared" si="115"/>
        <v>0</v>
      </c>
      <c r="CM57" s="511">
        <f t="shared" si="115"/>
        <v>0</v>
      </c>
      <c r="CN57" s="511">
        <f t="shared" si="116"/>
        <v>0</v>
      </c>
      <c r="CO57" s="512" t="str">
        <f t="shared" si="117"/>
        <v/>
      </c>
      <c r="CP57" s="3"/>
      <c r="CQ57" s="3"/>
      <c r="CR57" s="511">
        <f t="shared" si="118"/>
        <v>0</v>
      </c>
      <c r="CS57" s="512" t="str">
        <f t="shared" si="119"/>
        <v/>
      </c>
      <c r="CT57" s="3"/>
      <c r="CU57" s="3"/>
      <c r="CV57" s="511">
        <f t="shared" si="120"/>
        <v>0</v>
      </c>
      <c r="CW57" s="512" t="str">
        <f t="shared" si="121"/>
        <v/>
      </c>
      <c r="CX57" s="511">
        <f t="shared" si="122"/>
        <v>0</v>
      </c>
      <c r="CY57" s="511">
        <f t="shared" si="122"/>
        <v>0</v>
      </c>
      <c r="CZ57" s="511">
        <f t="shared" si="123"/>
        <v>0</v>
      </c>
      <c r="DA57" s="512" t="str">
        <f t="shared" si="124"/>
        <v/>
      </c>
      <c r="DB57" s="3"/>
      <c r="DC57" s="3"/>
      <c r="DD57" s="511">
        <f t="shared" si="125"/>
        <v>0</v>
      </c>
      <c r="DE57" s="512" t="str">
        <f t="shared" si="126"/>
        <v/>
      </c>
      <c r="DF57" s="3"/>
      <c r="DG57" s="3"/>
      <c r="DH57" s="511">
        <f t="shared" si="127"/>
        <v>0</v>
      </c>
      <c r="DI57" s="512" t="str">
        <f t="shared" si="128"/>
        <v/>
      </c>
      <c r="DJ57" s="511">
        <f t="shared" si="129"/>
        <v>0</v>
      </c>
      <c r="DK57" s="511">
        <f t="shared" si="129"/>
        <v>0</v>
      </c>
      <c r="DL57" s="511">
        <f t="shared" si="130"/>
        <v>0</v>
      </c>
      <c r="DM57" s="512" t="str">
        <f t="shared" si="131"/>
        <v/>
      </c>
      <c r="DN57" s="3"/>
      <c r="DO57" s="3"/>
      <c r="DP57" s="511">
        <f t="shared" si="132"/>
        <v>0</v>
      </c>
      <c r="DQ57" s="512" t="str">
        <f t="shared" si="133"/>
        <v/>
      </c>
      <c r="DR57" s="511">
        <f t="shared" si="134"/>
        <v>6750</v>
      </c>
      <c r="DS57" s="511">
        <f t="shared" si="135"/>
        <v>6500</v>
      </c>
      <c r="DT57" s="511">
        <f t="shared" si="136"/>
        <v>250</v>
      </c>
      <c r="DU57" s="512">
        <f t="shared" si="137"/>
        <v>1.0384615384615385</v>
      </c>
    </row>
    <row r="58" spans="1:125" x14ac:dyDescent="0.25">
      <c r="A58" s="2" t="s">
        <v>720</v>
      </c>
      <c r="B58" s="511">
        <f>16.36</f>
        <v>16.36</v>
      </c>
      <c r="C58" s="3"/>
      <c r="D58" s="511">
        <f t="shared" si="69"/>
        <v>16.36</v>
      </c>
      <c r="E58" s="512" t="str">
        <f t="shared" si="70"/>
        <v/>
      </c>
      <c r="F58" s="3"/>
      <c r="G58" s="3"/>
      <c r="H58" s="511">
        <f t="shared" si="71"/>
        <v>0</v>
      </c>
      <c r="I58" s="512" t="str">
        <f t="shared" si="72"/>
        <v/>
      </c>
      <c r="J58" s="511">
        <f>887.78</f>
        <v>887.78</v>
      </c>
      <c r="K58" s="3"/>
      <c r="L58" s="511">
        <f t="shared" si="73"/>
        <v>887.78</v>
      </c>
      <c r="M58" s="512" t="str">
        <f t="shared" si="74"/>
        <v/>
      </c>
      <c r="N58" s="3"/>
      <c r="O58" s="3"/>
      <c r="P58" s="511">
        <f t="shared" si="75"/>
        <v>0</v>
      </c>
      <c r="Q58" s="512" t="str">
        <f t="shared" si="76"/>
        <v/>
      </c>
      <c r="R58" s="3"/>
      <c r="S58" s="3"/>
      <c r="T58" s="511">
        <f t="shared" si="77"/>
        <v>0</v>
      </c>
      <c r="U58" s="512" t="str">
        <f t="shared" si="78"/>
        <v/>
      </c>
      <c r="V58" s="511">
        <f>190.62</f>
        <v>190.62</v>
      </c>
      <c r="W58" s="3"/>
      <c r="X58" s="511">
        <f t="shared" si="79"/>
        <v>190.62</v>
      </c>
      <c r="Y58" s="512" t="str">
        <f t="shared" si="80"/>
        <v/>
      </c>
      <c r="Z58" s="3"/>
      <c r="AA58" s="3"/>
      <c r="AB58" s="511">
        <f t="shared" si="81"/>
        <v>0</v>
      </c>
      <c r="AC58" s="512" t="str">
        <f t="shared" si="82"/>
        <v/>
      </c>
      <c r="AD58" s="3"/>
      <c r="AE58" s="3"/>
      <c r="AF58" s="511">
        <f t="shared" si="83"/>
        <v>0</v>
      </c>
      <c r="AG58" s="512" t="str">
        <f t="shared" si="84"/>
        <v/>
      </c>
      <c r="AH58" s="3"/>
      <c r="AI58" s="3"/>
      <c r="AJ58" s="511">
        <f t="shared" si="85"/>
        <v>0</v>
      </c>
      <c r="AK58" s="512" t="str">
        <f t="shared" si="86"/>
        <v/>
      </c>
      <c r="AL58" s="3"/>
      <c r="AM58" s="3"/>
      <c r="AN58" s="511">
        <f t="shared" si="87"/>
        <v>0</v>
      </c>
      <c r="AO58" s="512" t="str">
        <f t="shared" si="88"/>
        <v/>
      </c>
      <c r="AP58" s="3"/>
      <c r="AQ58" s="3"/>
      <c r="AR58" s="511">
        <f t="shared" si="89"/>
        <v>0</v>
      </c>
      <c r="AS58" s="512" t="str">
        <f t="shared" si="90"/>
        <v/>
      </c>
      <c r="AT58" s="3"/>
      <c r="AU58" s="3"/>
      <c r="AV58" s="511">
        <f t="shared" si="91"/>
        <v>0</v>
      </c>
      <c r="AW58" s="512" t="str">
        <f t="shared" si="92"/>
        <v/>
      </c>
      <c r="AX58" s="511">
        <f t="shared" si="93"/>
        <v>190.62</v>
      </c>
      <c r="AY58" s="511">
        <f t="shared" si="93"/>
        <v>0</v>
      </c>
      <c r="AZ58" s="511">
        <f t="shared" si="94"/>
        <v>190.62</v>
      </c>
      <c r="BA58" s="512" t="str">
        <f t="shared" si="95"/>
        <v/>
      </c>
      <c r="BB58" s="511">
        <f>103.46</f>
        <v>103.46</v>
      </c>
      <c r="BC58" s="3"/>
      <c r="BD58" s="511">
        <f t="shared" si="96"/>
        <v>103.46</v>
      </c>
      <c r="BE58" s="512" t="str">
        <f t="shared" si="97"/>
        <v/>
      </c>
      <c r="BF58" s="3"/>
      <c r="BG58" s="3"/>
      <c r="BH58" s="511">
        <f t="shared" si="98"/>
        <v>0</v>
      </c>
      <c r="BI58" s="512" t="str">
        <f t="shared" si="99"/>
        <v/>
      </c>
      <c r="BJ58" s="3"/>
      <c r="BK58" s="3"/>
      <c r="BL58" s="511">
        <f t="shared" si="100"/>
        <v>0</v>
      </c>
      <c r="BM58" s="512" t="str">
        <f t="shared" si="101"/>
        <v/>
      </c>
      <c r="BN58" s="3"/>
      <c r="BO58" s="3"/>
      <c r="BP58" s="511">
        <f t="shared" si="102"/>
        <v>0</v>
      </c>
      <c r="BQ58" s="512" t="str">
        <f t="shared" si="103"/>
        <v/>
      </c>
      <c r="BR58" s="511">
        <f t="shared" si="104"/>
        <v>103.46</v>
      </c>
      <c r="BS58" s="511">
        <f t="shared" si="104"/>
        <v>0</v>
      </c>
      <c r="BT58" s="511">
        <f t="shared" si="105"/>
        <v>103.46</v>
      </c>
      <c r="BU58" s="512" t="str">
        <f t="shared" si="106"/>
        <v/>
      </c>
      <c r="BV58" s="511">
        <f>1198.24</f>
        <v>1198.24</v>
      </c>
      <c r="BW58" s="3"/>
      <c r="BX58" s="511">
        <f t="shared" si="107"/>
        <v>1198.24</v>
      </c>
      <c r="BY58" s="512" t="str">
        <f t="shared" si="108"/>
        <v/>
      </c>
      <c r="BZ58" s="3"/>
      <c r="CA58" s="3"/>
      <c r="CB58" s="511">
        <f t="shared" si="109"/>
        <v>0</v>
      </c>
      <c r="CC58" s="512" t="str">
        <f t="shared" si="110"/>
        <v/>
      </c>
      <c r="CD58" s="3"/>
      <c r="CE58" s="3"/>
      <c r="CF58" s="511">
        <f t="shared" si="111"/>
        <v>0</v>
      </c>
      <c r="CG58" s="512" t="str">
        <f t="shared" si="112"/>
        <v/>
      </c>
      <c r="CH58" s="3"/>
      <c r="CI58" s="3"/>
      <c r="CJ58" s="511">
        <f t="shared" si="113"/>
        <v>0</v>
      </c>
      <c r="CK58" s="512" t="str">
        <f t="shared" si="114"/>
        <v/>
      </c>
      <c r="CL58" s="511">
        <f t="shared" si="115"/>
        <v>0</v>
      </c>
      <c r="CM58" s="511">
        <f t="shared" si="115"/>
        <v>0</v>
      </c>
      <c r="CN58" s="511">
        <f t="shared" si="116"/>
        <v>0</v>
      </c>
      <c r="CO58" s="512" t="str">
        <f t="shared" si="117"/>
        <v/>
      </c>
      <c r="CP58" s="3"/>
      <c r="CQ58" s="3"/>
      <c r="CR58" s="511">
        <f t="shared" si="118"/>
        <v>0</v>
      </c>
      <c r="CS58" s="512" t="str">
        <f t="shared" si="119"/>
        <v/>
      </c>
      <c r="CT58" s="3"/>
      <c r="CU58" s="3"/>
      <c r="CV58" s="511">
        <f t="shared" si="120"/>
        <v>0</v>
      </c>
      <c r="CW58" s="512" t="str">
        <f t="shared" si="121"/>
        <v/>
      </c>
      <c r="CX58" s="511">
        <f t="shared" si="122"/>
        <v>0</v>
      </c>
      <c r="CY58" s="511">
        <f t="shared" si="122"/>
        <v>0</v>
      </c>
      <c r="CZ58" s="511">
        <f t="shared" si="123"/>
        <v>0</v>
      </c>
      <c r="DA58" s="512" t="str">
        <f t="shared" si="124"/>
        <v/>
      </c>
      <c r="DB58" s="3"/>
      <c r="DC58" s="3"/>
      <c r="DD58" s="511">
        <f t="shared" si="125"/>
        <v>0</v>
      </c>
      <c r="DE58" s="512" t="str">
        <f t="shared" si="126"/>
        <v/>
      </c>
      <c r="DF58" s="3"/>
      <c r="DG58" s="3"/>
      <c r="DH58" s="511">
        <f t="shared" si="127"/>
        <v>0</v>
      </c>
      <c r="DI58" s="512" t="str">
        <f t="shared" si="128"/>
        <v/>
      </c>
      <c r="DJ58" s="511">
        <f t="shared" si="129"/>
        <v>0</v>
      </c>
      <c r="DK58" s="511">
        <f t="shared" si="129"/>
        <v>0</v>
      </c>
      <c r="DL58" s="511">
        <f t="shared" si="130"/>
        <v>0</v>
      </c>
      <c r="DM58" s="512" t="str">
        <f t="shared" si="131"/>
        <v/>
      </c>
      <c r="DN58" s="3"/>
      <c r="DO58" s="3"/>
      <c r="DP58" s="511">
        <f t="shared" si="132"/>
        <v>0</v>
      </c>
      <c r="DQ58" s="512" t="str">
        <f t="shared" si="133"/>
        <v/>
      </c>
      <c r="DR58" s="511">
        <f t="shared" si="134"/>
        <v>2396.46</v>
      </c>
      <c r="DS58" s="511">
        <f t="shared" si="135"/>
        <v>0</v>
      </c>
      <c r="DT58" s="511">
        <f t="shared" si="136"/>
        <v>2396.46</v>
      </c>
      <c r="DU58" s="512" t="str">
        <f t="shared" si="137"/>
        <v/>
      </c>
    </row>
    <row r="59" spans="1:125" x14ac:dyDescent="0.25">
      <c r="A59" s="2" t="s">
        <v>68</v>
      </c>
      <c r="B59" s="513">
        <f>((((B54)+(B55))+(B56))+(B57))+(B58)</f>
        <v>26281.81</v>
      </c>
      <c r="C59" s="513">
        <f>((((C54)+(C55))+(C56))+(C57))+(C58)</f>
        <v>7813</v>
      </c>
      <c r="D59" s="513">
        <f t="shared" si="69"/>
        <v>18468.810000000001</v>
      </c>
      <c r="E59" s="514">
        <f t="shared" si="70"/>
        <v>3.3638563931908361</v>
      </c>
      <c r="F59" s="513">
        <f>((((F54)+(F55))+(F56))+(F57))+(F58)</f>
        <v>61157.979999999996</v>
      </c>
      <c r="G59" s="513">
        <f>((((G54)+(G55))+(G56))+(G57))+(G58)</f>
        <v>58344</v>
      </c>
      <c r="H59" s="513">
        <f t="shared" si="71"/>
        <v>2813.9799999999959</v>
      </c>
      <c r="I59" s="514">
        <f t="shared" si="72"/>
        <v>1.0482308377896612</v>
      </c>
      <c r="J59" s="513">
        <f>((((J54)+(J55))+(J56))+(J57))+(J58)</f>
        <v>66707.66</v>
      </c>
      <c r="K59" s="513">
        <f>((((K54)+(K55))+(K56))+(K57))+(K58)</f>
        <v>81084.42</v>
      </c>
      <c r="L59" s="513">
        <f t="shared" si="73"/>
        <v>-14376.759999999995</v>
      </c>
      <c r="M59" s="514">
        <f t="shared" si="74"/>
        <v>0.8226939281307063</v>
      </c>
      <c r="N59" s="513">
        <f>((((N54)+(N55))+(N56))+(N57))+(N58)</f>
        <v>0</v>
      </c>
      <c r="O59" s="513">
        <f>((((O54)+(O55))+(O56))+(O57))+(O58)</f>
        <v>0</v>
      </c>
      <c r="P59" s="513">
        <f t="shared" si="75"/>
        <v>0</v>
      </c>
      <c r="Q59" s="514" t="str">
        <f t="shared" si="76"/>
        <v/>
      </c>
      <c r="R59" s="513">
        <f>((((R54)+(R55))+(R56))+(R57))+(R58)</f>
        <v>31212.829999999998</v>
      </c>
      <c r="S59" s="513">
        <f>((((S54)+(S55))+(S56))+(S57))+(S58)</f>
        <v>0</v>
      </c>
      <c r="T59" s="513">
        <f t="shared" si="77"/>
        <v>31212.829999999998</v>
      </c>
      <c r="U59" s="514" t="str">
        <f t="shared" si="78"/>
        <v/>
      </c>
      <c r="V59" s="513">
        <f>((((V54)+(V55))+(V56))+(V57))+(V58)</f>
        <v>54032.26</v>
      </c>
      <c r="W59" s="513">
        <f>((((W54)+(W55))+(W56))+(W57))+(W58)</f>
        <v>88137.35</v>
      </c>
      <c r="X59" s="513">
        <f t="shared" si="79"/>
        <v>-34105.090000000004</v>
      </c>
      <c r="Y59" s="514">
        <f t="shared" si="80"/>
        <v>0.61304611495580474</v>
      </c>
      <c r="Z59" s="513">
        <f>((((Z54)+(Z55))+(Z56))+(Z57))+(Z58)</f>
        <v>886.11</v>
      </c>
      <c r="AA59" s="513">
        <f>((((AA54)+(AA55))+(AA56))+(AA57))+(AA58)</f>
        <v>0</v>
      </c>
      <c r="AB59" s="513">
        <f t="shared" si="81"/>
        <v>886.11</v>
      </c>
      <c r="AC59" s="514" t="str">
        <f t="shared" si="82"/>
        <v/>
      </c>
      <c r="AD59" s="513">
        <f>((((AD54)+(AD55))+(AD56))+(AD57))+(AD58)</f>
        <v>712.48</v>
      </c>
      <c r="AE59" s="513">
        <f>((((AE54)+(AE55))+(AE56))+(AE57))+(AE58)</f>
        <v>0</v>
      </c>
      <c r="AF59" s="513">
        <f t="shared" si="83"/>
        <v>712.48</v>
      </c>
      <c r="AG59" s="514" t="str">
        <f t="shared" si="84"/>
        <v/>
      </c>
      <c r="AH59" s="513">
        <f>((((AH54)+(AH55))+(AH56))+(AH57))+(AH58)</f>
        <v>19636.349999999999</v>
      </c>
      <c r="AI59" s="513">
        <f>((((AI54)+(AI55))+(AI56))+(AI57))+(AI58)</f>
        <v>0</v>
      </c>
      <c r="AJ59" s="513">
        <f t="shared" si="85"/>
        <v>19636.349999999999</v>
      </c>
      <c r="AK59" s="514" t="str">
        <f t="shared" si="86"/>
        <v/>
      </c>
      <c r="AL59" s="513">
        <f>((((AL54)+(AL55))+(AL56))+(AL57))+(AL58)</f>
        <v>14652.58</v>
      </c>
      <c r="AM59" s="513">
        <f>((((AM54)+(AM55))+(AM56))+(AM57))+(AM58)</f>
        <v>0</v>
      </c>
      <c r="AN59" s="513">
        <f t="shared" si="87"/>
        <v>14652.58</v>
      </c>
      <c r="AO59" s="514" t="str">
        <f t="shared" si="88"/>
        <v/>
      </c>
      <c r="AP59" s="513">
        <f>((((AP54)+(AP55))+(AP56))+(AP57))+(AP58)</f>
        <v>6805.28</v>
      </c>
      <c r="AQ59" s="513">
        <f>((((AQ54)+(AQ55))+(AQ56))+(AQ57))+(AQ58)</f>
        <v>0</v>
      </c>
      <c r="AR59" s="513">
        <f t="shared" si="89"/>
        <v>6805.28</v>
      </c>
      <c r="AS59" s="514" t="str">
        <f t="shared" si="90"/>
        <v/>
      </c>
      <c r="AT59" s="513">
        <f>((((AT54)+(AT55))+(AT56))+(AT57))+(AT58)</f>
        <v>7933.5099999999993</v>
      </c>
      <c r="AU59" s="513">
        <f>((((AU54)+(AU55))+(AU56))+(AU57))+(AU58)</f>
        <v>0</v>
      </c>
      <c r="AV59" s="513">
        <f t="shared" si="91"/>
        <v>7933.5099999999993</v>
      </c>
      <c r="AW59" s="514" t="str">
        <f t="shared" si="92"/>
        <v/>
      </c>
      <c r="AX59" s="513">
        <f t="shared" si="93"/>
        <v>104658.57</v>
      </c>
      <c r="AY59" s="513">
        <f t="shared" si="93"/>
        <v>88137.35</v>
      </c>
      <c r="AZ59" s="513">
        <f t="shared" si="94"/>
        <v>16521.22</v>
      </c>
      <c r="BA59" s="514">
        <f t="shared" si="95"/>
        <v>1.1874485674915345</v>
      </c>
      <c r="BB59" s="513">
        <f>((((BB54)+(BB55))+(BB56))+(BB57))+(BB58)</f>
        <v>33398.409999999996</v>
      </c>
      <c r="BC59" s="513">
        <f>((((BC54)+(BC55))+(BC56))+(BC57))+(BC58)</f>
        <v>44638.54</v>
      </c>
      <c r="BD59" s="513">
        <f t="shared" si="96"/>
        <v>-11240.130000000005</v>
      </c>
      <c r="BE59" s="514">
        <f t="shared" si="97"/>
        <v>0.74819673761731442</v>
      </c>
      <c r="BF59" s="513">
        <f>((((BF54)+(BF55))+(BF56))+(BF57))+(BF58)</f>
        <v>3901.96</v>
      </c>
      <c r="BG59" s="513">
        <f>((((BG54)+(BG55))+(BG56))+(BG57))+(BG58)</f>
        <v>0</v>
      </c>
      <c r="BH59" s="513">
        <f t="shared" si="98"/>
        <v>3901.96</v>
      </c>
      <c r="BI59" s="514" t="str">
        <f t="shared" si="99"/>
        <v/>
      </c>
      <c r="BJ59" s="513">
        <f>((((BJ54)+(BJ55))+(BJ56))+(BJ57))+(BJ58)</f>
        <v>12401.75</v>
      </c>
      <c r="BK59" s="513">
        <f>((((BK54)+(BK55))+(BK56))+(BK57))+(BK58)</f>
        <v>0</v>
      </c>
      <c r="BL59" s="513">
        <f t="shared" si="100"/>
        <v>12401.75</v>
      </c>
      <c r="BM59" s="514" t="str">
        <f t="shared" si="101"/>
        <v/>
      </c>
      <c r="BN59" s="513">
        <f>((((BN54)+(BN55))+(BN56))+(BN57))+(BN58)</f>
        <v>2674.67</v>
      </c>
      <c r="BO59" s="513">
        <f>((((BO54)+(BO55))+(BO56))+(BO57))+(BO58)</f>
        <v>0</v>
      </c>
      <c r="BP59" s="513">
        <f t="shared" si="102"/>
        <v>2674.67</v>
      </c>
      <c r="BQ59" s="514" t="str">
        <f t="shared" si="103"/>
        <v/>
      </c>
      <c r="BR59" s="513">
        <f t="shared" si="104"/>
        <v>52376.789999999994</v>
      </c>
      <c r="BS59" s="513">
        <f t="shared" si="104"/>
        <v>44638.54</v>
      </c>
      <c r="BT59" s="513">
        <f t="shared" si="105"/>
        <v>7738.2499999999927</v>
      </c>
      <c r="BU59" s="514">
        <f t="shared" si="106"/>
        <v>1.1733535639830512</v>
      </c>
      <c r="BV59" s="513">
        <f>((((BV54)+(BV55))+(BV56))+(BV57))+(BV58)</f>
        <v>41080.979999999996</v>
      </c>
      <c r="BW59" s="513">
        <f>((((BW54)+(BW55))+(BW56))+(BW57))+(BW58)</f>
        <v>22168.19</v>
      </c>
      <c r="BX59" s="513">
        <f t="shared" si="107"/>
        <v>18912.789999999997</v>
      </c>
      <c r="BY59" s="514">
        <f t="shared" si="108"/>
        <v>1.8531499414250778</v>
      </c>
      <c r="BZ59" s="513">
        <f>((((BZ54)+(BZ55))+(BZ56))+(BZ57))+(BZ58)</f>
        <v>36530.69</v>
      </c>
      <c r="CA59" s="513">
        <f>((((CA54)+(CA55))+(CA56))+(CA57))+(CA58)</f>
        <v>43411</v>
      </c>
      <c r="CB59" s="513">
        <f t="shared" si="109"/>
        <v>-6880.3099999999977</v>
      </c>
      <c r="CC59" s="514">
        <f t="shared" si="110"/>
        <v>0.84150768238464912</v>
      </c>
      <c r="CD59" s="513">
        <f>((((CD54)+(CD55))+(CD56))+(CD57))+(CD58)</f>
        <v>7819.51</v>
      </c>
      <c r="CE59" s="513">
        <f>((((CE54)+(CE55))+(CE56))+(CE57))+(CE58)</f>
        <v>0</v>
      </c>
      <c r="CF59" s="513">
        <f t="shared" si="111"/>
        <v>7819.51</v>
      </c>
      <c r="CG59" s="514" t="str">
        <f t="shared" si="112"/>
        <v/>
      </c>
      <c r="CH59" s="513">
        <f>((((CH54)+(CH55))+(CH56))+(CH57))+(CH58)</f>
        <v>0</v>
      </c>
      <c r="CI59" s="513">
        <f>((((CI54)+(CI55))+(CI56))+(CI57))+(CI58)</f>
        <v>0</v>
      </c>
      <c r="CJ59" s="513">
        <f t="shared" si="113"/>
        <v>0</v>
      </c>
      <c r="CK59" s="514" t="str">
        <f t="shared" si="114"/>
        <v/>
      </c>
      <c r="CL59" s="513">
        <f t="shared" si="115"/>
        <v>7819.51</v>
      </c>
      <c r="CM59" s="513">
        <f t="shared" si="115"/>
        <v>0</v>
      </c>
      <c r="CN59" s="513">
        <f t="shared" si="116"/>
        <v>7819.51</v>
      </c>
      <c r="CO59" s="514" t="str">
        <f t="shared" si="117"/>
        <v/>
      </c>
      <c r="CP59" s="513">
        <f>((((CP54)+(CP55))+(CP56))+(CP57))+(CP58)</f>
        <v>6670.91</v>
      </c>
      <c r="CQ59" s="513">
        <f>((((CQ54)+(CQ55))+(CQ56))+(CQ57))+(CQ58)</f>
        <v>0</v>
      </c>
      <c r="CR59" s="513">
        <f t="shared" si="118"/>
        <v>6670.91</v>
      </c>
      <c r="CS59" s="514" t="str">
        <f t="shared" si="119"/>
        <v/>
      </c>
      <c r="CT59" s="513">
        <f>((((CT54)+(CT55))+(CT56))+(CT57))+(CT58)</f>
        <v>12336.4</v>
      </c>
      <c r="CU59" s="513">
        <f>((((CU54)+(CU55))+(CU56))+(CU57))+(CU58)</f>
        <v>20800</v>
      </c>
      <c r="CV59" s="513">
        <f t="shared" si="120"/>
        <v>-8463.6</v>
      </c>
      <c r="CW59" s="514">
        <f t="shared" si="121"/>
        <v>0.59309615384615388</v>
      </c>
      <c r="CX59" s="513">
        <f t="shared" si="122"/>
        <v>19007.309999999998</v>
      </c>
      <c r="CY59" s="513">
        <f t="shared" si="122"/>
        <v>20800</v>
      </c>
      <c r="CZ59" s="513">
        <f t="shared" si="123"/>
        <v>-1792.6900000000023</v>
      </c>
      <c r="DA59" s="514">
        <f t="shared" si="124"/>
        <v>0.91381298076923068</v>
      </c>
      <c r="DB59" s="513">
        <f>((((DB54)+(DB55))+(DB56))+(DB57))+(DB58)</f>
        <v>0</v>
      </c>
      <c r="DC59" s="513">
        <f>((((DC54)+(DC55))+(DC56))+(DC57))+(DC58)</f>
        <v>0</v>
      </c>
      <c r="DD59" s="513">
        <f t="shared" si="125"/>
        <v>0</v>
      </c>
      <c r="DE59" s="514" t="str">
        <f t="shared" si="126"/>
        <v/>
      </c>
      <c r="DF59" s="513">
        <f>((((DF54)+(DF55))+(DF56))+(DF57))+(DF58)</f>
        <v>15083.03</v>
      </c>
      <c r="DG59" s="513">
        <f>((((DG54)+(DG55))+(DG56))+(DG57))+(DG58)</f>
        <v>0</v>
      </c>
      <c r="DH59" s="513">
        <f t="shared" si="127"/>
        <v>15083.03</v>
      </c>
      <c r="DI59" s="514" t="str">
        <f t="shared" si="128"/>
        <v/>
      </c>
      <c r="DJ59" s="513">
        <f t="shared" si="129"/>
        <v>15083.03</v>
      </c>
      <c r="DK59" s="513">
        <f t="shared" si="129"/>
        <v>0</v>
      </c>
      <c r="DL59" s="513">
        <f t="shared" si="130"/>
        <v>15083.03</v>
      </c>
      <c r="DM59" s="514" t="str">
        <f t="shared" si="131"/>
        <v/>
      </c>
      <c r="DN59" s="513">
        <f>((((DN54)+(DN55))+(DN56))+(DN57))+(DN58)</f>
        <v>0</v>
      </c>
      <c r="DO59" s="513">
        <f>((((DO54)+(DO55))+(DO56))+(DO57))+(DO58)</f>
        <v>0</v>
      </c>
      <c r="DP59" s="513">
        <f t="shared" si="132"/>
        <v>0</v>
      </c>
      <c r="DQ59" s="514" t="str">
        <f t="shared" si="133"/>
        <v/>
      </c>
      <c r="DR59" s="513">
        <f t="shared" si="134"/>
        <v>461917.16</v>
      </c>
      <c r="DS59" s="513">
        <f t="shared" si="135"/>
        <v>366396.5</v>
      </c>
      <c r="DT59" s="513">
        <f t="shared" si="136"/>
        <v>95520.659999999974</v>
      </c>
      <c r="DU59" s="514">
        <f t="shared" si="137"/>
        <v>1.2607029816059923</v>
      </c>
    </row>
    <row r="60" spans="1:125" x14ac:dyDescent="0.25">
      <c r="A60" s="2" t="s">
        <v>69</v>
      </c>
      <c r="B60" s="511">
        <f>811.33</f>
        <v>811.33</v>
      </c>
      <c r="C60" s="511">
        <f>1484.47</f>
        <v>1484.47</v>
      </c>
      <c r="D60" s="511">
        <f t="shared" si="69"/>
        <v>-673.14</v>
      </c>
      <c r="E60" s="512">
        <f t="shared" si="70"/>
        <v>0.54654523163149138</v>
      </c>
      <c r="F60" s="511">
        <f>5026.19</f>
        <v>5026.1899999999996</v>
      </c>
      <c r="G60" s="511">
        <f>5542.68</f>
        <v>5542.68</v>
      </c>
      <c r="H60" s="511">
        <f t="shared" si="71"/>
        <v>-516.49000000000069</v>
      </c>
      <c r="I60" s="512">
        <f t="shared" si="72"/>
        <v>0.90681583638239971</v>
      </c>
      <c r="J60" s="511">
        <f>5279.89</f>
        <v>5279.89</v>
      </c>
      <c r="K60" s="511">
        <f>6202.96</f>
        <v>6202.96</v>
      </c>
      <c r="L60" s="511">
        <f t="shared" si="73"/>
        <v>-923.06999999999971</v>
      </c>
      <c r="M60" s="512">
        <f t="shared" si="74"/>
        <v>0.85118878728864933</v>
      </c>
      <c r="N60" s="3"/>
      <c r="O60" s="3"/>
      <c r="P60" s="511">
        <f t="shared" si="75"/>
        <v>0</v>
      </c>
      <c r="Q60" s="512" t="str">
        <f t="shared" si="76"/>
        <v/>
      </c>
      <c r="R60" s="511">
        <f>2366.03</f>
        <v>2366.0300000000002</v>
      </c>
      <c r="S60" s="3"/>
      <c r="T60" s="511">
        <f t="shared" si="77"/>
        <v>2366.0300000000002</v>
      </c>
      <c r="U60" s="512" t="str">
        <f t="shared" si="78"/>
        <v/>
      </c>
      <c r="V60" s="511">
        <f>4924.88</f>
        <v>4924.88</v>
      </c>
      <c r="W60" s="511">
        <f>6742.51</f>
        <v>6742.51</v>
      </c>
      <c r="X60" s="511">
        <f t="shared" si="79"/>
        <v>-1817.63</v>
      </c>
      <c r="Y60" s="512">
        <f t="shared" si="80"/>
        <v>0.73042235013370393</v>
      </c>
      <c r="Z60" s="511">
        <f>72.45</f>
        <v>72.45</v>
      </c>
      <c r="AA60" s="3"/>
      <c r="AB60" s="511">
        <f t="shared" si="81"/>
        <v>72.45</v>
      </c>
      <c r="AC60" s="512" t="str">
        <f t="shared" si="82"/>
        <v/>
      </c>
      <c r="AD60" s="511">
        <f>59.19</f>
        <v>59.19</v>
      </c>
      <c r="AE60" s="3"/>
      <c r="AF60" s="511">
        <f t="shared" si="83"/>
        <v>59.19</v>
      </c>
      <c r="AG60" s="512" t="str">
        <f t="shared" si="84"/>
        <v/>
      </c>
      <c r="AH60" s="511">
        <f>2063.11</f>
        <v>2063.11</v>
      </c>
      <c r="AI60" s="3"/>
      <c r="AJ60" s="511">
        <f t="shared" si="85"/>
        <v>2063.11</v>
      </c>
      <c r="AK60" s="512" t="str">
        <f t="shared" si="86"/>
        <v/>
      </c>
      <c r="AL60" s="511">
        <f>1194.47</f>
        <v>1194.47</v>
      </c>
      <c r="AM60" s="3"/>
      <c r="AN60" s="511">
        <f t="shared" si="87"/>
        <v>1194.47</v>
      </c>
      <c r="AO60" s="512" t="str">
        <f t="shared" si="88"/>
        <v/>
      </c>
      <c r="AP60" s="511">
        <f>537.87</f>
        <v>537.87</v>
      </c>
      <c r="AQ60" s="3"/>
      <c r="AR60" s="511">
        <f t="shared" si="89"/>
        <v>537.87</v>
      </c>
      <c r="AS60" s="512" t="str">
        <f t="shared" si="90"/>
        <v/>
      </c>
      <c r="AT60" s="511">
        <f>668.97</f>
        <v>668.97</v>
      </c>
      <c r="AU60" s="3"/>
      <c r="AV60" s="511">
        <f t="shared" si="91"/>
        <v>668.97</v>
      </c>
      <c r="AW60" s="512" t="str">
        <f t="shared" si="92"/>
        <v/>
      </c>
      <c r="AX60" s="511">
        <f t="shared" si="93"/>
        <v>9520.9399999999987</v>
      </c>
      <c r="AY60" s="511">
        <f t="shared" si="93"/>
        <v>6742.51</v>
      </c>
      <c r="AZ60" s="511">
        <f t="shared" si="94"/>
        <v>2778.4299999999985</v>
      </c>
      <c r="BA60" s="512">
        <f t="shared" si="95"/>
        <v>1.4120765115661673</v>
      </c>
      <c r="BB60" s="511">
        <f>2274.93</f>
        <v>2274.9299999999998</v>
      </c>
      <c r="BC60" s="511">
        <f>3414.85</f>
        <v>3414.85</v>
      </c>
      <c r="BD60" s="511">
        <f t="shared" si="96"/>
        <v>-1139.92</v>
      </c>
      <c r="BE60" s="512">
        <f t="shared" si="97"/>
        <v>0.66618738744015105</v>
      </c>
      <c r="BF60" s="511">
        <f>315.42</f>
        <v>315.42</v>
      </c>
      <c r="BG60" s="3"/>
      <c r="BH60" s="511">
        <f t="shared" si="98"/>
        <v>315.42</v>
      </c>
      <c r="BI60" s="512" t="str">
        <f t="shared" si="99"/>
        <v/>
      </c>
      <c r="BJ60" s="511">
        <f>1031.34</f>
        <v>1031.3399999999999</v>
      </c>
      <c r="BK60" s="3"/>
      <c r="BL60" s="511">
        <f t="shared" si="100"/>
        <v>1031.3399999999999</v>
      </c>
      <c r="BM60" s="512" t="str">
        <f t="shared" si="101"/>
        <v/>
      </c>
      <c r="BN60" s="511">
        <f>231.05</f>
        <v>231.05</v>
      </c>
      <c r="BO60" s="3"/>
      <c r="BP60" s="511">
        <f t="shared" si="102"/>
        <v>231.05</v>
      </c>
      <c r="BQ60" s="512" t="str">
        <f t="shared" si="103"/>
        <v/>
      </c>
      <c r="BR60" s="511">
        <f t="shared" si="104"/>
        <v>3852.74</v>
      </c>
      <c r="BS60" s="511">
        <f t="shared" si="104"/>
        <v>3414.85</v>
      </c>
      <c r="BT60" s="511">
        <f t="shared" si="105"/>
        <v>437.88999999999987</v>
      </c>
      <c r="BU60" s="512">
        <f t="shared" si="106"/>
        <v>1.1282311082478</v>
      </c>
      <c r="BV60" s="511">
        <f>3324.72</f>
        <v>3324.72</v>
      </c>
      <c r="BW60" s="511">
        <f>1662.61</f>
        <v>1662.61</v>
      </c>
      <c r="BX60" s="511">
        <f t="shared" si="107"/>
        <v>1662.11</v>
      </c>
      <c r="BY60" s="512">
        <f t="shared" si="108"/>
        <v>1.9996992680183567</v>
      </c>
      <c r="BZ60" s="511">
        <f>2379.21</f>
        <v>2379.21</v>
      </c>
      <c r="CA60" s="511">
        <f>3320.94</f>
        <v>3320.94</v>
      </c>
      <c r="CB60" s="511">
        <f t="shared" si="109"/>
        <v>-941.73</v>
      </c>
      <c r="CC60" s="512">
        <f t="shared" si="110"/>
        <v>0.71642667437532748</v>
      </c>
      <c r="CD60" s="511">
        <f>555.74</f>
        <v>555.74</v>
      </c>
      <c r="CE60" s="3"/>
      <c r="CF60" s="511">
        <f t="shared" si="111"/>
        <v>555.74</v>
      </c>
      <c r="CG60" s="512" t="str">
        <f t="shared" si="112"/>
        <v/>
      </c>
      <c r="CH60" s="3"/>
      <c r="CI60" s="3"/>
      <c r="CJ60" s="511">
        <f t="shared" si="113"/>
        <v>0</v>
      </c>
      <c r="CK60" s="512" t="str">
        <f t="shared" si="114"/>
        <v/>
      </c>
      <c r="CL60" s="511">
        <f t="shared" si="115"/>
        <v>555.74</v>
      </c>
      <c r="CM60" s="511">
        <f t="shared" si="115"/>
        <v>0</v>
      </c>
      <c r="CN60" s="511">
        <f t="shared" si="116"/>
        <v>555.74</v>
      </c>
      <c r="CO60" s="512" t="str">
        <f t="shared" si="117"/>
        <v/>
      </c>
      <c r="CP60" s="511">
        <f>486.77</f>
        <v>486.77</v>
      </c>
      <c r="CQ60" s="3"/>
      <c r="CR60" s="511">
        <f t="shared" si="118"/>
        <v>486.77</v>
      </c>
      <c r="CS60" s="512" t="str">
        <f t="shared" si="119"/>
        <v/>
      </c>
      <c r="CT60" s="511">
        <f>1079.75</f>
        <v>1079.75</v>
      </c>
      <c r="CU60" s="3"/>
      <c r="CV60" s="511">
        <f t="shared" si="120"/>
        <v>1079.75</v>
      </c>
      <c r="CW60" s="512" t="str">
        <f t="shared" si="121"/>
        <v/>
      </c>
      <c r="CX60" s="511">
        <f t="shared" si="122"/>
        <v>1566.52</v>
      </c>
      <c r="CY60" s="511">
        <f t="shared" si="122"/>
        <v>0</v>
      </c>
      <c r="CZ60" s="511">
        <f t="shared" si="123"/>
        <v>1566.52</v>
      </c>
      <c r="DA60" s="512" t="str">
        <f t="shared" si="124"/>
        <v/>
      </c>
      <c r="DB60" s="3"/>
      <c r="DC60" s="3"/>
      <c r="DD60" s="511">
        <f t="shared" si="125"/>
        <v>0</v>
      </c>
      <c r="DE60" s="512" t="str">
        <f t="shared" si="126"/>
        <v/>
      </c>
      <c r="DF60" s="511">
        <f>1275.35</f>
        <v>1275.3499999999999</v>
      </c>
      <c r="DG60" s="3"/>
      <c r="DH60" s="511">
        <f t="shared" si="127"/>
        <v>1275.3499999999999</v>
      </c>
      <c r="DI60" s="512" t="str">
        <f t="shared" si="128"/>
        <v/>
      </c>
      <c r="DJ60" s="511">
        <f t="shared" si="129"/>
        <v>1275.3499999999999</v>
      </c>
      <c r="DK60" s="511">
        <f t="shared" si="129"/>
        <v>0</v>
      </c>
      <c r="DL60" s="511">
        <f t="shared" si="130"/>
        <v>1275.3499999999999</v>
      </c>
      <c r="DM60" s="512" t="str">
        <f t="shared" si="131"/>
        <v/>
      </c>
      <c r="DN60" s="511">
        <f>0</f>
        <v>0</v>
      </c>
      <c r="DO60" s="3"/>
      <c r="DP60" s="511">
        <f t="shared" si="132"/>
        <v>0</v>
      </c>
      <c r="DQ60" s="512" t="str">
        <f t="shared" si="133"/>
        <v/>
      </c>
      <c r="DR60" s="511">
        <f t="shared" si="134"/>
        <v>35958.659999999989</v>
      </c>
      <c r="DS60" s="511">
        <f t="shared" si="135"/>
        <v>28371.02</v>
      </c>
      <c r="DT60" s="511">
        <f t="shared" si="136"/>
        <v>7587.6399999999885</v>
      </c>
      <c r="DU60" s="512">
        <f t="shared" si="137"/>
        <v>1.2674433277337223</v>
      </c>
    </row>
    <row r="61" spans="1:125" x14ac:dyDescent="0.25">
      <c r="A61" s="2" t="s">
        <v>70</v>
      </c>
      <c r="B61" s="3"/>
      <c r="C61" s="3"/>
      <c r="D61" s="511">
        <f t="shared" si="69"/>
        <v>0</v>
      </c>
      <c r="E61" s="512" t="str">
        <f t="shared" si="70"/>
        <v/>
      </c>
      <c r="F61" s="3"/>
      <c r="G61" s="3"/>
      <c r="H61" s="511">
        <f t="shared" si="71"/>
        <v>0</v>
      </c>
      <c r="I61" s="512" t="str">
        <f t="shared" si="72"/>
        <v/>
      </c>
      <c r="J61" s="3"/>
      <c r="K61" s="3"/>
      <c r="L61" s="511">
        <f t="shared" si="73"/>
        <v>0</v>
      </c>
      <c r="M61" s="512" t="str">
        <f t="shared" si="74"/>
        <v/>
      </c>
      <c r="N61" s="3"/>
      <c r="O61" s="3"/>
      <c r="P61" s="511">
        <f t="shared" si="75"/>
        <v>0</v>
      </c>
      <c r="Q61" s="512" t="str">
        <f t="shared" si="76"/>
        <v/>
      </c>
      <c r="R61" s="3"/>
      <c r="S61" s="3"/>
      <c r="T61" s="511">
        <f t="shared" si="77"/>
        <v>0</v>
      </c>
      <c r="U61" s="512" t="str">
        <f t="shared" si="78"/>
        <v/>
      </c>
      <c r="V61" s="3"/>
      <c r="W61" s="3"/>
      <c r="X61" s="511">
        <f t="shared" si="79"/>
        <v>0</v>
      </c>
      <c r="Y61" s="512" t="str">
        <f t="shared" si="80"/>
        <v/>
      </c>
      <c r="Z61" s="3"/>
      <c r="AA61" s="3"/>
      <c r="AB61" s="511">
        <f t="shared" si="81"/>
        <v>0</v>
      </c>
      <c r="AC61" s="512" t="str">
        <f t="shared" si="82"/>
        <v/>
      </c>
      <c r="AD61" s="3"/>
      <c r="AE61" s="3"/>
      <c r="AF61" s="511">
        <f t="shared" si="83"/>
        <v>0</v>
      </c>
      <c r="AG61" s="512" t="str">
        <f t="shared" si="84"/>
        <v/>
      </c>
      <c r="AH61" s="3"/>
      <c r="AI61" s="3"/>
      <c r="AJ61" s="511">
        <f t="shared" si="85"/>
        <v>0</v>
      </c>
      <c r="AK61" s="512" t="str">
        <f t="shared" si="86"/>
        <v/>
      </c>
      <c r="AL61" s="3"/>
      <c r="AM61" s="3"/>
      <c r="AN61" s="511">
        <f t="shared" si="87"/>
        <v>0</v>
      </c>
      <c r="AO61" s="512" t="str">
        <f t="shared" si="88"/>
        <v/>
      </c>
      <c r="AP61" s="3"/>
      <c r="AQ61" s="3"/>
      <c r="AR61" s="511">
        <f t="shared" si="89"/>
        <v>0</v>
      </c>
      <c r="AS61" s="512" t="str">
        <f t="shared" si="90"/>
        <v/>
      </c>
      <c r="AT61" s="3"/>
      <c r="AU61" s="3"/>
      <c r="AV61" s="511">
        <f t="shared" si="91"/>
        <v>0</v>
      </c>
      <c r="AW61" s="512" t="str">
        <f t="shared" si="92"/>
        <v/>
      </c>
      <c r="AX61" s="511">
        <f t="shared" si="93"/>
        <v>0</v>
      </c>
      <c r="AY61" s="511">
        <f t="shared" si="93"/>
        <v>0</v>
      </c>
      <c r="AZ61" s="511">
        <f t="shared" si="94"/>
        <v>0</v>
      </c>
      <c r="BA61" s="512" t="str">
        <f t="shared" si="95"/>
        <v/>
      </c>
      <c r="BB61" s="3"/>
      <c r="BC61" s="3"/>
      <c r="BD61" s="511">
        <f t="shared" si="96"/>
        <v>0</v>
      </c>
      <c r="BE61" s="512" t="str">
        <f t="shared" si="97"/>
        <v/>
      </c>
      <c r="BF61" s="3"/>
      <c r="BG61" s="3"/>
      <c r="BH61" s="511">
        <f t="shared" si="98"/>
        <v>0</v>
      </c>
      <c r="BI61" s="512" t="str">
        <f t="shared" si="99"/>
        <v/>
      </c>
      <c r="BJ61" s="3"/>
      <c r="BK61" s="3"/>
      <c r="BL61" s="511">
        <f t="shared" si="100"/>
        <v>0</v>
      </c>
      <c r="BM61" s="512" t="str">
        <f t="shared" si="101"/>
        <v/>
      </c>
      <c r="BN61" s="3"/>
      <c r="BO61" s="3"/>
      <c r="BP61" s="511">
        <f t="shared" si="102"/>
        <v>0</v>
      </c>
      <c r="BQ61" s="512" t="str">
        <f t="shared" si="103"/>
        <v/>
      </c>
      <c r="BR61" s="511">
        <f t="shared" si="104"/>
        <v>0</v>
      </c>
      <c r="BS61" s="511">
        <f t="shared" si="104"/>
        <v>0</v>
      </c>
      <c r="BT61" s="511">
        <f t="shared" si="105"/>
        <v>0</v>
      </c>
      <c r="BU61" s="512" t="str">
        <f t="shared" si="106"/>
        <v/>
      </c>
      <c r="BV61" s="3"/>
      <c r="BW61" s="3"/>
      <c r="BX61" s="511">
        <f t="shared" si="107"/>
        <v>0</v>
      </c>
      <c r="BY61" s="512" t="str">
        <f t="shared" si="108"/>
        <v/>
      </c>
      <c r="BZ61" s="3"/>
      <c r="CA61" s="3"/>
      <c r="CB61" s="511">
        <f t="shared" si="109"/>
        <v>0</v>
      </c>
      <c r="CC61" s="512" t="str">
        <f t="shared" si="110"/>
        <v/>
      </c>
      <c r="CD61" s="3"/>
      <c r="CE61" s="3"/>
      <c r="CF61" s="511">
        <f t="shared" si="111"/>
        <v>0</v>
      </c>
      <c r="CG61" s="512" t="str">
        <f t="shared" si="112"/>
        <v/>
      </c>
      <c r="CH61" s="3"/>
      <c r="CI61" s="3"/>
      <c r="CJ61" s="511">
        <f t="shared" si="113"/>
        <v>0</v>
      </c>
      <c r="CK61" s="512" t="str">
        <f t="shared" si="114"/>
        <v/>
      </c>
      <c r="CL61" s="511">
        <f t="shared" si="115"/>
        <v>0</v>
      </c>
      <c r="CM61" s="511">
        <f t="shared" si="115"/>
        <v>0</v>
      </c>
      <c r="CN61" s="511">
        <f t="shared" si="116"/>
        <v>0</v>
      </c>
      <c r="CO61" s="512" t="str">
        <f t="shared" si="117"/>
        <v/>
      </c>
      <c r="CP61" s="3"/>
      <c r="CQ61" s="3"/>
      <c r="CR61" s="511">
        <f t="shared" si="118"/>
        <v>0</v>
      </c>
      <c r="CS61" s="512" t="str">
        <f t="shared" si="119"/>
        <v/>
      </c>
      <c r="CT61" s="3"/>
      <c r="CU61" s="511">
        <f>1560</f>
        <v>1560</v>
      </c>
      <c r="CV61" s="511">
        <f t="shared" si="120"/>
        <v>-1560</v>
      </c>
      <c r="CW61" s="512">
        <f t="shared" si="121"/>
        <v>0</v>
      </c>
      <c r="CX61" s="511">
        <f t="shared" si="122"/>
        <v>0</v>
      </c>
      <c r="CY61" s="511">
        <f t="shared" si="122"/>
        <v>1560</v>
      </c>
      <c r="CZ61" s="511">
        <f t="shared" si="123"/>
        <v>-1560</v>
      </c>
      <c r="DA61" s="512">
        <f t="shared" si="124"/>
        <v>0</v>
      </c>
      <c r="DB61" s="3"/>
      <c r="DC61" s="3"/>
      <c r="DD61" s="511">
        <f t="shared" si="125"/>
        <v>0</v>
      </c>
      <c r="DE61" s="512" t="str">
        <f t="shared" si="126"/>
        <v/>
      </c>
      <c r="DF61" s="3"/>
      <c r="DG61" s="3"/>
      <c r="DH61" s="511">
        <f t="shared" si="127"/>
        <v>0</v>
      </c>
      <c r="DI61" s="512" t="str">
        <f t="shared" si="128"/>
        <v/>
      </c>
      <c r="DJ61" s="511">
        <f t="shared" si="129"/>
        <v>0</v>
      </c>
      <c r="DK61" s="511">
        <f t="shared" si="129"/>
        <v>0</v>
      </c>
      <c r="DL61" s="511">
        <f t="shared" si="130"/>
        <v>0</v>
      </c>
      <c r="DM61" s="512" t="str">
        <f t="shared" si="131"/>
        <v/>
      </c>
      <c r="DN61" s="3"/>
      <c r="DO61" s="3"/>
      <c r="DP61" s="511">
        <f t="shared" si="132"/>
        <v>0</v>
      </c>
      <c r="DQ61" s="512" t="str">
        <f t="shared" si="133"/>
        <v/>
      </c>
      <c r="DR61" s="511">
        <f t="shared" si="134"/>
        <v>0</v>
      </c>
      <c r="DS61" s="511">
        <f t="shared" si="135"/>
        <v>1560</v>
      </c>
      <c r="DT61" s="511">
        <f t="shared" si="136"/>
        <v>-1560</v>
      </c>
      <c r="DU61" s="512">
        <f t="shared" si="137"/>
        <v>0</v>
      </c>
    </row>
    <row r="62" spans="1:125" x14ac:dyDescent="0.25">
      <c r="A62" s="2" t="s">
        <v>71</v>
      </c>
      <c r="B62" s="3"/>
      <c r="C62" s="3"/>
      <c r="D62" s="511">
        <f t="shared" si="69"/>
        <v>0</v>
      </c>
      <c r="E62" s="512" t="str">
        <f t="shared" si="70"/>
        <v/>
      </c>
      <c r="F62" s="3"/>
      <c r="G62" s="3"/>
      <c r="H62" s="511">
        <f t="shared" si="71"/>
        <v>0</v>
      </c>
      <c r="I62" s="512" t="str">
        <f t="shared" si="72"/>
        <v/>
      </c>
      <c r="J62" s="3"/>
      <c r="K62" s="3"/>
      <c r="L62" s="511">
        <f t="shared" si="73"/>
        <v>0</v>
      </c>
      <c r="M62" s="512" t="str">
        <f t="shared" si="74"/>
        <v/>
      </c>
      <c r="N62" s="3"/>
      <c r="O62" s="3"/>
      <c r="P62" s="511">
        <f t="shared" si="75"/>
        <v>0</v>
      </c>
      <c r="Q62" s="512" t="str">
        <f t="shared" si="76"/>
        <v/>
      </c>
      <c r="R62" s="3"/>
      <c r="S62" s="3"/>
      <c r="T62" s="511">
        <f t="shared" si="77"/>
        <v>0</v>
      </c>
      <c r="U62" s="512" t="str">
        <f t="shared" si="78"/>
        <v/>
      </c>
      <c r="V62" s="3"/>
      <c r="W62" s="3"/>
      <c r="X62" s="511">
        <f t="shared" si="79"/>
        <v>0</v>
      </c>
      <c r="Y62" s="512" t="str">
        <f t="shared" si="80"/>
        <v/>
      </c>
      <c r="Z62" s="3"/>
      <c r="AA62" s="3"/>
      <c r="AB62" s="511">
        <f t="shared" si="81"/>
        <v>0</v>
      </c>
      <c r="AC62" s="512" t="str">
        <f t="shared" si="82"/>
        <v/>
      </c>
      <c r="AD62" s="3"/>
      <c r="AE62" s="3"/>
      <c r="AF62" s="511">
        <f t="shared" si="83"/>
        <v>0</v>
      </c>
      <c r="AG62" s="512" t="str">
        <f t="shared" si="84"/>
        <v/>
      </c>
      <c r="AH62" s="3"/>
      <c r="AI62" s="3"/>
      <c r="AJ62" s="511">
        <f t="shared" si="85"/>
        <v>0</v>
      </c>
      <c r="AK62" s="512" t="str">
        <f t="shared" si="86"/>
        <v/>
      </c>
      <c r="AL62" s="3"/>
      <c r="AM62" s="3"/>
      <c r="AN62" s="511">
        <f t="shared" si="87"/>
        <v>0</v>
      </c>
      <c r="AO62" s="512" t="str">
        <f t="shared" si="88"/>
        <v/>
      </c>
      <c r="AP62" s="3"/>
      <c r="AQ62" s="3"/>
      <c r="AR62" s="511">
        <f t="shared" si="89"/>
        <v>0</v>
      </c>
      <c r="AS62" s="512" t="str">
        <f t="shared" si="90"/>
        <v/>
      </c>
      <c r="AT62" s="3"/>
      <c r="AU62" s="3"/>
      <c r="AV62" s="511">
        <f t="shared" si="91"/>
        <v>0</v>
      </c>
      <c r="AW62" s="512" t="str">
        <f t="shared" si="92"/>
        <v/>
      </c>
      <c r="AX62" s="511">
        <f t="shared" si="93"/>
        <v>0</v>
      </c>
      <c r="AY62" s="511">
        <f t="shared" si="93"/>
        <v>0</v>
      </c>
      <c r="AZ62" s="511">
        <f t="shared" si="94"/>
        <v>0</v>
      </c>
      <c r="BA62" s="512" t="str">
        <f t="shared" si="95"/>
        <v/>
      </c>
      <c r="BB62" s="3"/>
      <c r="BC62" s="3"/>
      <c r="BD62" s="511">
        <f t="shared" si="96"/>
        <v>0</v>
      </c>
      <c r="BE62" s="512" t="str">
        <f t="shared" si="97"/>
        <v/>
      </c>
      <c r="BF62" s="3"/>
      <c r="BG62" s="3"/>
      <c r="BH62" s="511">
        <f t="shared" si="98"/>
        <v>0</v>
      </c>
      <c r="BI62" s="512" t="str">
        <f t="shared" si="99"/>
        <v/>
      </c>
      <c r="BJ62" s="3"/>
      <c r="BK62" s="3"/>
      <c r="BL62" s="511">
        <f t="shared" si="100"/>
        <v>0</v>
      </c>
      <c r="BM62" s="512" t="str">
        <f t="shared" si="101"/>
        <v/>
      </c>
      <c r="BN62" s="3"/>
      <c r="BO62" s="3"/>
      <c r="BP62" s="511">
        <f t="shared" si="102"/>
        <v>0</v>
      </c>
      <c r="BQ62" s="512" t="str">
        <f t="shared" si="103"/>
        <v/>
      </c>
      <c r="BR62" s="511">
        <f t="shared" si="104"/>
        <v>0</v>
      </c>
      <c r="BS62" s="511">
        <f t="shared" si="104"/>
        <v>0</v>
      </c>
      <c r="BT62" s="511">
        <f t="shared" si="105"/>
        <v>0</v>
      </c>
      <c r="BU62" s="512" t="str">
        <f t="shared" si="106"/>
        <v/>
      </c>
      <c r="BV62" s="3"/>
      <c r="BW62" s="3"/>
      <c r="BX62" s="511">
        <f t="shared" si="107"/>
        <v>0</v>
      </c>
      <c r="BY62" s="512" t="str">
        <f t="shared" si="108"/>
        <v/>
      </c>
      <c r="BZ62" s="3"/>
      <c r="CA62" s="3"/>
      <c r="CB62" s="511">
        <f t="shared" si="109"/>
        <v>0</v>
      </c>
      <c r="CC62" s="512" t="str">
        <f t="shared" si="110"/>
        <v/>
      </c>
      <c r="CD62" s="3"/>
      <c r="CE62" s="3"/>
      <c r="CF62" s="511">
        <f t="shared" si="111"/>
        <v>0</v>
      </c>
      <c r="CG62" s="512" t="str">
        <f t="shared" si="112"/>
        <v/>
      </c>
      <c r="CH62" s="3"/>
      <c r="CI62" s="3"/>
      <c r="CJ62" s="511">
        <f t="shared" si="113"/>
        <v>0</v>
      </c>
      <c r="CK62" s="512" t="str">
        <f t="shared" si="114"/>
        <v/>
      </c>
      <c r="CL62" s="511">
        <f t="shared" si="115"/>
        <v>0</v>
      </c>
      <c r="CM62" s="511">
        <f t="shared" si="115"/>
        <v>0</v>
      </c>
      <c r="CN62" s="511">
        <f t="shared" si="116"/>
        <v>0</v>
      </c>
      <c r="CO62" s="512" t="str">
        <f t="shared" si="117"/>
        <v/>
      </c>
      <c r="CP62" s="3"/>
      <c r="CQ62" s="3"/>
      <c r="CR62" s="511">
        <f t="shared" si="118"/>
        <v>0</v>
      </c>
      <c r="CS62" s="512" t="str">
        <f t="shared" si="119"/>
        <v/>
      </c>
      <c r="CT62" s="3"/>
      <c r="CU62" s="511">
        <f>1560</f>
        <v>1560</v>
      </c>
      <c r="CV62" s="511">
        <f t="shared" si="120"/>
        <v>-1560</v>
      </c>
      <c r="CW62" s="512">
        <f t="shared" si="121"/>
        <v>0</v>
      </c>
      <c r="CX62" s="511">
        <f t="shared" si="122"/>
        <v>0</v>
      </c>
      <c r="CY62" s="511">
        <f t="shared" si="122"/>
        <v>1560</v>
      </c>
      <c r="CZ62" s="511">
        <f t="shared" si="123"/>
        <v>-1560</v>
      </c>
      <c r="DA62" s="512">
        <f t="shared" si="124"/>
        <v>0</v>
      </c>
      <c r="DB62" s="3"/>
      <c r="DC62" s="3"/>
      <c r="DD62" s="511">
        <f t="shared" si="125"/>
        <v>0</v>
      </c>
      <c r="DE62" s="512" t="str">
        <f t="shared" si="126"/>
        <v/>
      </c>
      <c r="DF62" s="3"/>
      <c r="DG62" s="3"/>
      <c r="DH62" s="511">
        <f t="shared" si="127"/>
        <v>0</v>
      </c>
      <c r="DI62" s="512" t="str">
        <f t="shared" si="128"/>
        <v/>
      </c>
      <c r="DJ62" s="511">
        <f t="shared" si="129"/>
        <v>0</v>
      </c>
      <c r="DK62" s="511">
        <f t="shared" si="129"/>
        <v>0</v>
      </c>
      <c r="DL62" s="511">
        <f t="shared" si="130"/>
        <v>0</v>
      </c>
      <c r="DM62" s="512" t="str">
        <f t="shared" si="131"/>
        <v/>
      </c>
      <c r="DN62" s="3"/>
      <c r="DO62" s="3"/>
      <c r="DP62" s="511">
        <f t="shared" si="132"/>
        <v>0</v>
      </c>
      <c r="DQ62" s="512" t="str">
        <f t="shared" si="133"/>
        <v/>
      </c>
      <c r="DR62" s="511">
        <f t="shared" si="134"/>
        <v>0</v>
      </c>
      <c r="DS62" s="511">
        <f t="shared" si="135"/>
        <v>1560</v>
      </c>
      <c r="DT62" s="511">
        <f t="shared" si="136"/>
        <v>-1560</v>
      </c>
      <c r="DU62" s="512">
        <f t="shared" si="137"/>
        <v>0</v>
      </c>
    </row>
    <row r="63" spans="1:125" x14ac:dyDescent="0.25">
      <c r="A63" s="2" t="s">
        <v>72</v>
      </c>
      <c r="B63" s="513">
        <f>((B60)+(B61))+(B62)</f>
        <v>811.33</v>
      </c>
      <c r="C63" s="513">
        <f>((C60)+(C61))+(C62)</f>
        <v>1484.47</v>
      </c>
      <c r="D63" s="513">
        <f t="shared" si="69"/>
        <v>-673.14</v>
      </c>
      <c r="E63" s="514">
        <f t="shared" si="70"/>
        <v>0.54654523163149138</v>
      </c>
      <c r="F63" s="513">
        <f>((F60)+(F61))+(F62)</f>
        <v>5026.1899999999996</v>
      </c>
      <c r="G63" s="513">
        <f>((G60)+(G61))+(G62)</f>
        <v>5542.68</v>
      </c>
      <c r="H63" s="513">
        <f t="shared" si="71"/>
        <v>-516.49000000000069</v>
      </c>
      <c r="I63" s="514">
        <f t="shared" si="72"/>
        <v>0.90681583638239971</v>
      </c>
      <c r="J63" s="513">
        <f>((J60)+(J61))+(J62)</f>
        <v>5279.89</v>
      </c>
      <c r="K63" s="513">
        <f>((K60)+(K61))+(K62)</f>
        <v>6202.96</v>
      </c>
      <c r="L63" s="513">
        <f t="shared" si="73"/>
        <v>-923.06999999999971</v>
      </c>
      <c r="M63" s="514">
        <f t="shared" si="74"/>
        <v>0.85118878728864933</v>
      </c>
      <c r="N63" s="513">
        <f>((N60)+(N61))+(N62)</f>
        <v>0</v>
      </c>
      <c r="O63" s="513">
        <f>((O60)+(O61))+(O62)</f>
        <v>0</v>
      </c>
      <c r="P63" s="513">
        <f t="shared" si="75"/>
        <v>0</v>
      </c>
      <c r="Q63" s="514" t="str">
        <f t="shared" si="76"/>
        <v/>
      </c>
      <c r="R63" s="513">
        <f>((R60)+(R61))+(R62)</f>
        <v>2366.0300000000002</v>
      </c>
      <c r="S63" s="513">
        <f>((S60)+(S61))+(S62)</f>
        <v>0</v>
      </c>
      <c r="T63" s="513">
        <f t="shared" si="77"/>
        <v>2366.0300000000002</v>
      </c>
      <c r="U63" s="514" t="str">
        <f t="shared" si="78"/>
        <v/>
      </c>
      <c r="V63" s="513">
        <f>((V60)+(V61))+(V62)</f>
        <v>4924.88</v>
      </c>
      <c r="W63" s="513">
        <f>((W60)+(W61))+(W62)</f>
        <v>6742.51</v>
      </c>
      <c r="X63" s="513">
        <f t="shared" si="79"/>
        <v>-1817.63</v>
      </c>
      <c r="Y63" s="514">
        <f t="shared" si="80"/>
        <v>0.73042235013370393</v>
      </c>
      <c r="Z63" s="513">
        <f>((Z60)+(Z61))+(Z62)</f>
        <v>72.45</v>
      </c>
      <c r="AA63" s="513">
        <f>((AA60)+(AA61))+(AA62)</f>
        <v>0</v>
      </c>
      <c r="AB63" s="513">
        <f t="shared" si="81"/>
        <v>72.45</v>
      </c>
      <c r="AC63" s="514" t="str">
        <f t="shared" si="82"/>
        <v/>
      </c>
      <c r="AD63" s="513">
        <f>((AD60)+(AD61))+(AD62)</f>
        <v>59.19</v>
      </c>
      <c r="AE63" s="513">
        <f>((AE60)+(AE61))+(AE62)</f>
        <v>0</v>
      </c>
      <c r="AF63" s="513">
        <f t="shared" si="83"/>
        <v>59.19</v>
      </c>
      <c r="AG63" s="514" t="str">
        <f t="shared" si="84"/>
        <v/>
      </c>
      <c r="AH63" s="513">
        <f>((AH60)+(AH61))+(AH62)</f>
        <v>2063.11</v>
      </c>
      <c r="AI63" s="513">
        <f>((AI60)+(AI61))+(AI62)</f>
        <v>0</v>
      </c>
      <c r="AJ63" s="513">
        <f t="shared" si="85"/>
        <v>2063.11</v>
      </c>
      <c r="AK63" s="514" t="str">
        <f t="shared" si="86"/>
        <v/>
      </c>
      <c r="AL63" s="513">
        <f>((AL60)+(AL61))+(AL62)</f>
        <v>1194.47</v>
      </c>
      <c r="AM63" s="513">
        <f>((AM60)+(AM61))+(AM62)</f>
        <v>0</v>
      </c>
      <c r="AN63" s="513">
        <f t="shared" si="87"/>
        <v>1194.47</v>
      </c>
      <c r="AO63" s="514" t="str">
        <f t="shared" si="88"/>
        <v/>
      </c>
      <c r="AP63" s="513">
        <f>((AP60)+(AP61))+(AP62)</f>
        <v>537.87</v>
      </c>
      <c r="AQ63" s="513">
        <f>((AQ60)+(AQ61))+(AQ62)</f>
        <v>0</v>
      </c>
      <c r="AR63" s="513">
        <f t="shared" si="89"/>
        <v>537.87</v>
      </c>
      <c r="AS63" s="514" t="str">
        <f t="shared" si="90"/>
        <v/>
      </c>
      <c r="AT63" s="513">
        <f>((AT60)+(AT61))+(AT62)</f>
        <v>668.97</v>
      </c>
      <c r="AU63" s="513">
        <f>((AU60)+(AU61))+(AU62)</f>
        <v>0</v>
      </c>
      <c r="AV63" s="513">
        <f t="shared" si="91"/>
        <v>668.97</v>
      </c>
      <c r="AW63" s="514" t="str">
        <f t="shared" si="92"/>
        <v/>
      </c>
      <c r="AX63" s="513">
        <f t="shared" si="93"/>
        <v>9520.9399999999987</v>
      </c>
      <c r="AY63" s="513">
        <f t="shared" si="93"/>
        <v>6742.51</v>
      </c>
      <c r="AZ63" s="513">
        <f t="shared" si="94"/>
        <v>2778.4299999999985</v>
      </c>
      <c r="BA63" s="514">
        <f t="shared" si="95"/>
        <v>1.4120765115661673</v>
      </c>
      <c r="BB63" s="513">
        <f>((BB60)+(BB61))+(BB62)</f>
        <v>2274.9299999999998</v>
      </c>
      <c r="BC63" s="513">
        <f>((BC60)+(BC61))+(BC62)</f>
        <v>3414.85</v>
      </c>
      <c r="BD63" s="513">
        <f t="shared" si="96"/>
        <v>-1139.92</v>
      </c>
      <c r="BE63" s="514">
        <f t="shared" si="97"/>
        <v>0.66618738744015105</v>
      </c>
      <c r="BF63" s="513">
        <f>((BF60)+(BF61))+(BF62)</f>
        <v>315.42</v>
      </c>
      <c r="BG63" s="513">
        <f>((BG60)+(BG61))+(BG62)</f>
        <v>0</v>
      </c>
      <c r="BH63" s="513">
        <f t="shared" si="98"/>
        <v>315.42</v>
      </c>
      <c r="BI63" s="514" t="str">
        <f t="shared" si="99"/>
        <v/>
      </c>
      <c r="BJ63" s="513">
        <f>((BJ60)+(BJ61))+(BJ62)</f>
        <v>1031.3399999999999</v>
      </c>
      <c r="BK63" s="513">
        <f>((BK60)+(BK61))+(BK62)</f>
        <v>0</v>
      </c>
      <c r="BL63" s="513">
        <f t="shared" si="100"/>
        <v>1031.3399999999999</v>
      </c>
      <c r="BM63" s="514" t="str">
        <f t="shared" si="101"/>
        <v/>
      </c>
      <c r="BN63" s="513">
        <f>((BN60)+(BN61))+(BN62)</f>
        <v>231.05</v>
      </c>
      <c r="BO63" s="513">
        <f>((BO60)+(BO61))+(BO62)</f>
        <v>0</v>
      </c>
      <c r="BP63" s="513">
        <f t="shared" si="102"/>
        <v>231.05</v>
      </c>
      <c r="BQ63" s="514" t="str">
        <f t="shared" si="103"/>
        <v/>
      </c>
      <c r="BR63" s="513">
        <f t="shared" si="104"/>
        <v>3852.74</v>
      </c>
      <c r="BS63" s="513">
        <f t="shared" si="104"/>
        <v>3414.85</v>
      </c>
      <c r="BT63" s="513">
        <f t="shared" si="105"/>
        <v>437.88999999999987</v>
      </c>
      <c r="BU63" s="514">
        <f t="shared" si="106"/>
        <v>1.1282311082478</v>
      </c>
      <c r="BV63" s="513">
        <f>((BV60)+(BV61))+(BV62)</f>
        <v>3324.72</v>
      </c>
      <c r="BW63" s="513">
        <f>((BW60)+(BW61))+(BW62)</f>
        <v>1662.61</v>
      </c>
      <c r="BX63" s="513">
        <f t="shared" si="107"/>
        <v>1662.11</v>
      </c>
      <c r="BY63" s="514">
        <f t="shared" si="108"/>
        <v>1.9996992680183567</v>
      </c>
      <c r="BZ63" s="513">
        <f>((BZ60)+(BZ61))+(BZ62)</f>
        <v>2379.21</v>
      </c>
      <c r="CA63" s="513">
        <f>((CA60)+(CA61))+(CA62)</f>
        <v>3320.94</v>
      </c>
      <c r="CB63" s="513">
        <f t="shared" si="109"/>
        <v>-941.73</v>
      </c>
      <c r="CC63" s="514">
        <f t="shared" si="110"/>
        <v>0.71642667437532748</v>
      </c>
      <c r="CD63" s="513">
        <f>((CD60)+(CD61))+(CD62)</f>
        <v>555.74</v>
      </c>
      <c r="CE63" s="513">
        <f>((CE60)+(CE61))+(CE62)</f>
        <v>0</v>
      </c>
      <c r="CF63" s="513">
        <f t="shared" si="111"/>
        <v>555.74</v>
      </c>
      <c r="CG63" s="514" t="str">
        <f t="shared" si="112"/>
        <v/>
      </c>
      <c r="CH63" s="513">
        <f>((CH60)+(CH61))+(CH62)</f>
        <v>0</v>
      </c>
      <c r="CI63" s="513">
        <f>((CI60)+(CI61))+(CI62)</f>
        <v>0</v>
      </c>
      <c r="CJ63" s="513">
        <f t="shared" si="113"/>
        <v>0</v>
      </c>
      <c r="CK63" s="514" t="str">
        <f t="shared" si="114"/>
        <v/>
      </c>
      <c r="CL63" s="513">
        <f t="shared" si="115"/>
        <v>555.74</v>
      </c>
      <c r="CM63" s="513">
        <f t="shared" si="115"/>
        <v>0</v>
      </c>
      <c r="CN63" s="513">
        <f t="shared" si="116"/>
        <v>555.74</v>
      </c>
      <c r="CO63" s="514" t="str">
        <f t="shared" si="117"/>
        <v/>
      </c>
      <c r="CP63" s="513">
        <f>((CP60)+(CP61))+(CP62)</f>
        <v>486.77</v>
      </c>
      <c r="CQ63" s="513">
        <f>((CQ60)+(CQ61))+(CQ62)</f>
        <v>0</v>
      </c>
      <c r="CR63" s="513">
        <f t="shared" si="118"/>
        <v>486.77</v>
      </c>
      <c r="CS63" s="514" t="str">
        <f t="shared" si="119"/>
        <v/>
      </c>
      <c r="CT63" s="513">
        <f>((CT60)+(CT61))+(CT62)</f>
        <v>1079.75</v>
      </c>
      <c r="CU63" s="513">
        <f>((CU60)+(CU61))+(CU62)</f>
        <v>3120</v>
      </c>
      <c r="CV63" s="513">
        <f t="shared" si="120"/>
        <v>-2040.25</v>
      </c>
      <c r="CW63" s="514">
        <f t="shared" si="121"/>
        <v>0.34607371794871794</v>
      </c>
      <c r="CX63" s="513">
        <f t="shared" si="122"/>
        <v>1566.52</v>
      </c>
      <c r="CY63" s="513">
        <f t="shared" si="122"/>
        <v>3120</v>
      </c>
      <c r="CZ63" s="513">
        <f t="shared" si="123"/>
        <v>-1553.48</v>
      </c>
      <c r="DA63" s="514">
        <f t="shared" si="124"/>
        <v>0.50208974358974356</v>
      </c>
      <c r="DB63" s="513">
        <f>((DB60)+(DB61))+(DB62)</f>
        <v>0</v>
      </c>
      <c r="DC63" s="513">
        <f>((DC60)+(DC61))+(DC62)</f>
        <v>0</v>
      </c>
      <c r="DD63" s="513">
        <f t="shared" si="125"/>
        <v>0</v>
      </c>
      <c r="DE63" s="514" t="str">
        <f t="shared" si="126"/>
        <v/>
      </c>
      <c r="DF63" s="513">
        <f>((DF60)+(DF61))+(DF62)</f>
        <v>1275.3499999999999</v>
      </c>
      <c r="DG63" s="513">
        <f>((DG60)+(DG61))+(DG62)</f>
        <v>0</v>
      </c>
      <c r="DH63" s="513">
        <f t="shared" si="127"/>
        <v>1275.3499999999999</v>
      </c>
      <c r="DI63" s="514" t="str">
        <f t="shared" si="128"/>
        <v/>
      </c>
      <c r="DJ63" s="513">
        <f t="shared" si="129"/>
        <v>1275.3499999999999</v>
      </c>
      <c r="DK63" s="513">
        <f t="shared" si="129"/>
        <v>0</v>
      </c>
      <c r="DL63" s="513">
        <f t="shared" si="130"/>
        <v>1275.3499999999999</v>
      </c>
      <c r="DM63" s="514" t="str">
        <f t="shared" si="131"/>
        <v/>
      </c>
      <c r="DN63" s="513">
        <f>((DN60)+(DN61))+(DN62)</f>
        <v>0</v>
      </c>
      <c r="DO63" s="513">
        <f>((DO60)+(DO61))+(DO62)</f>
        <v>0</v>
      </c>
      <c r="DP63" s="513">
        <f t="shared" si="132"/>
        <v>0</v>
      </c>
      <c r="DQ63" s="514" t="str">
        <f t="shared" si="133"/>
        <v/>
      </c>
      <c r="DR63" s="513">
        <f t="shared" si="134"/>
        <v>35958.659999999989</v>
      </c>
      <c r="DS63" s="513">
        <f t="shared" si="135"/>
        <v>31491.02</v>
      </c>
      <c r="DT63" s="513">
        <f t="shared" si="136"/>
        <v>4467.6399999999885</v>
      </c>
      <c r="DU63" s="514">
        <f t="shared" si="137"/>
        <v>1.1418702855607723</v>
      </c>
    </row>
    <row r="64" spans="1:125" x14ac:dyDescent="0.25">
      <c r="A64" s="2" t="s">
        <v>73</v>
      </c>
      <c r="B64" s="3"/>
      <c r="C64" s="3"/>
      <c r="D64" s="511">
        <f t="shared" si="69"/>
        <v>0</v>
      </c>
      <c r="E64" s="512" t="str">
        <f t="shared" si="70"/>
        <v/>
      </c>
      <c r="F64" s="3"/>
      <c r="G64" s="511">
        <f>5542.68</f>
        <v>5542.68</v>
      </c>
      <c r="H64" s="511">
        <f t="shared" si="71"/>
        <v>-5542.68</v>
      </c>
      <c r="I64" s="512">
        <f t="shared" si="72"/>
        <v>0</v>
      </c>
      <c r="J64" s="3"/>
      <c r="K64" s="511">
        <f>2027.11</f>
        <v>2027.11</v>
      </c>
      <c r="L64" s="511">
        <f t="shared" si="73"/>
        <v>-2027.11</v>
      </c>
      <c r="M64" s="512">
        <f t="shared" si="74"/>
        <v>0</v>
      </c>
      <c r="N64" s="3"/>
      <c r="O64" s="3"/>
      <c r="P64" s="511">
        <f t="shared" si="75"/>
        <v>0</v>
      </c>
      <c r="Q64" s="512" t="str">
        <f t="shared" si="76"/>
        <v/>
      </c>
      <c r="R64" s="3"/>
      <c r="S64" s="3"/>
      <c r="T64" s="511">
        <f t="shared" si="77"/>
        <v>0</v>
      </c>
      <c r="U64" s="512" t="str">
        <f t="shared" si="78"/>
        <v/>
      </c>
      <c r="V64" s="3"/>
      <c r="W64" s="3"/>
      <c r="X64" s="511">
        <f t="shared" si="79"/>
        <v>0</v>
      </c>
      <c r="Y64" s="512" t="str">
        <f t="shared" si="80"/>
        <v/>
      </c>
      <c r="Z64" s="3"/>
      <c r="AA64" s="3"/>
      <c r="AB64" s="511">
        <f t="shared" si="81"/>
        <v>0</v>
      </c>
      <c r="AC64" s="512" t="str">
        <f t="shared" si="82"/>
        <v/>
      </c>
      <c r="AD64" s="3"/>
      <c r="AE64" s="3"/>
      <c r="AF64" s="511">
        <f t="shared" si="83"/>
        <v>0</v>
      </c>
      <c r="AG64" s="512" t="str">
        <f t="shared" si="84"/>
        <v/>
      </c>
      <c r="AH64" s="3"/>
      <c r="AI64" s="3"/>
      <c r="AJ64" s="511">
        <f t="shared" si="85"/>
        <v>0</v>
      </c>
      <c r="AK64" s="512" t="str">
        <f t="shared" si="86"/>
        <v/>
      </c>
      <c r="AL64" s="3"/>
      <c r="AM64" s="3"/>
      <c r="AN64" s="511">
        <f t="shared" si="87"/>
        <v>0</v>
      </c>
      <c r="AO64" s="512" t="str">
        <f t="shared" si="88"/>
        <v/>
      </c>
      <c r="AP64" s="3"/>
      <c r="AQ64" s="3"/>
      <c r="AR64" s="511">
        <f t="shared" si="89"/>
        <v>0</v>
      </c>
      <c r="AS64" s="512" t="str">
        <f t="shared" si="90"/>
        <v/>
      </c>
      <c r="AT64" s="3"/>
      <c r="AU64" s="3"/>
      <c r="AV64" s="511">
        <f t="shared" si="91"/>
        <v>0</v>
      </c>
      <c r="AW64" s="512" t="str">
        <f t="shared" si="92"/>
        <v/>
      </c>
      <c r="AX64" s="511">
        <f t="shared" ref="AX64:AY95" si="138">((((((V64)+(Z64))+(AD64))+(AH64))+(AL64))+(AP64))+(AT64)</f>
        <v>0</v>
      </c>
      <c r="AY64" s="511">
        <f t="shared" si="138"/>
        <v>0</v>
      </c>
      <c r="AZ64" s="511">
        <f t="shared" si="94"/>
        <v>0</v>
      </c>
      <c r="BA64" s="512" t="str">
        <f t="shared" si="95"/>
        <v/>
      </c>
      <c r="BB64" s="3"/>
      <c r="BC64" s="3"/>
      <c r="BD64" s="511">
        <f t="shared" si="96"/>
        <v>0</v>
      </c>
      <c r="BE64" s="512" t="str">
        <f t="shared" si="97"/>
        <v/>
      </c>
      <c r="BF64" s="3"/>
      <c r="BG64" s="3"/>
      <c r="BH64" s="511">
        <f t="shared" si="98"/>
        <v>0</v>
      </c>
      <c r="BI64" s="512" t="str">
        <f t="shared" si="99"/>
        <v/>
      </c>
      <c r="BJ64" s="3"/>
      <c r="BK64" s="3"/>
      <c r="BL64" s="511">
        <f t="shared" si="100"/>
        <v>0</v>
      </c>
      <c r="BM64" s="512" t="str">
        <f t="shared" si="101"/>
        <v/>
      </c>
      <c r="BN64" s="3"/>
      <c r="BO64" s="3"/>
      <c r="BP64" s="511">
        <f t="shared" si="102"/>
        <v>0</v>
      </c>
      <c r="BQ64" s="512" t="str">
        <f t="shared" si="103"/>
        <v/>
      </c>
      <c r="BR64" s="511">
        <f t="shared" ref="BR64:BS95" si="139">(((BB64)+(BF64))+(BJ64))+(BN64)</f>
        <v>0</v>
      </c>
      <c r="BS64" s="511">
        <f t="shared" si="139"/>
        <v>0</v>
      </c>
      <c r="BT64" s="511">
        <f t="shared" si="105"/>
        <v>0</v>
      </c>
      <c r="BU64" s="512" t="str">
        <f t="shared" si="106"/>
        <v/>
      </c>
      <c r="BV64" s="3"/>
      <c r="BW64" s="511">
        <f>1457.23</f>
        <v>1457.23</v>
      </c>
      <c r="BX64" s="511">
        <f t="shared" si="107"/>
        <v>-1457.23</v>
      </c>
      <c r="BY64" s="512">
        <f t="shared" si="108"/>
        <v>0</v>
      </c>
      <c r="BZ64" s="3"/>
      <c r="CA64" s="3"/>
      <c r="CB64" s="511">
        <f t="shared" si="109"/>
        <v>0</v>
      </c>
      <c r="CC64" s="512" t="str">
        <f t="shared" si="110"/>
        <v/>
      </c>
      <c r="CD64" s="3"/>
      <c r="CE64" s="3"/>
      <c r="CF64" s="511">
        <f t="shared" si="111"/>
        <v>0</v>
      </c>
      <c r="CG64" s="512" t="str">
        <f t="shared" si="112"/>
        <v/>
      </c>
      <c r="CH64" s="3"/>
      <c r="CI64" s="3"/>
      <c r="CJ64" s="511">
        <f t="shared" si="113"/>
        <v>0</v>
      </c>
      <c r="CK64" s="512" t="str">
        <f t="shared" si="114"/>
        <v/>
      </c>
      <c r="CL64" s="511">
        <f t="shared" ref="CL64:CM95" si="140">(CD64)+(CH64)</f>
        <v>0</v>
      </c>
      <c r="CM64" s="511">
        <f t="shared" si="140"/>
        <v>0</v>
      </c>
      <c r="CN64" s="511">
        <f t="shared" si="116"/>
        <v>0</v>
      </c>
      <c r="CO64" s="512" t="str">
        <f t="shared" si="117"/>
        <v/>
      </c>
      <c r="CP64" s="3"/>
      <c r="CQ64" s="3"/>
      <c r="CR64" s="511">
        <f t="shared" si="118"/>
        <v>0</v>
      </c>
      <c r="CS64" s="512" t="str">
        <f t="shared" si="119"/>
        <v/>
      </c>
      <c r="CT64" s="3"/>
      <c r="CU64" s="3"/>
      <c r="CV64" s="511">
        <f t="shared" si="120"/>
        <v>0</v>
      </c>
      <c r="CW64" s="512" t="str">
        <f t="shared" si="121"/>
        <v/>
      </c>
      <c r="CX64" s="511">
        <f t="shared" ref="CX64:CY95" si="141">(CP64)+(CT64)</f>
        <v>0</v>
      </c>
      <c r="CY64" s="511">
        <f t="shared" si="141"/>
        <v>0</v>
      </c>
      <c r="CZ64" s="511">
        <f t="shared" si="123"/>
        <v>0</v>
      </c>
      <c r="DA64" s="512" t="str">
        <f t="shared" si="124"/>
        <v/>
      </c>
      <c r="DB64" s="3"/>
      <c r="DC64" s="3"/>
      <c r="DD64" s="511">
        <f t="shared" si="125"/>
        <v>0</v>
      </c>
      <c r="DE64" s="512" t="str">
        <f t="shared" si="126"/>
        <v/>
      </c>
      <c r="DF64" s="3"/>
      <c r="DG64" s="3"/>
      <c r="DH64" s="511">
        <f t="shared" si="127"/>
        <v>0</v>
      </c>
      <c r="DI64" s="512" t="str">
        <f t="shared" si="128"/>
        <v/>
      </c>
      <c r="DJ64" s="511">
        <f t="shared" ref="DJ64:DK95" si="142">(DB64)+(DF64)</f>
        <v>0</v>
      </c>
      <c r="DK64" s="511">
        <f t="shared" si="142"/>
        <v>0</v>
      </c>
      <c r="DL64" s="511">
        <f t="shared" si="130"/>
        <v>0</v>
      </c>
      <c r="DM64" s="512" t="str">
        <f t="shared" si="131"/>
        <v/>
      </c>
      <c r="DN64" s="3"/>
      <c r="DO64" s="3"/>
      <c r="DP64" s="511">
        <f t="shared" si="132"/>
        <v>0</v>
      </c>
      <c r="DQ64" s="512" t="str">
        <f t="shared" si="133"/>
        <v/>
      </c>
      <c r="DR64" s="511">
        <f t="shared" ref="DR64:DR95" si="143">((((((((((((B64)+(F64))+(J64))+(N64))+(R64))+(AX64))+(BR64))+(BV64))+(BZ64))+(CL64))+(CX64))+(DJ64))+(DN64)</f>
        <v>0</v>
      </c>
      <c r="DS64" s="511">
        <f t="shared" ref="DS64:DS95" si="144">((((((((((((C64)+(G64))+(K64))+(O64))+(S64))+(AY64))+(BS64))+(BW64))+(CA64))+(CM64))+(CY64))+(DK64))+(DO64)</f>
        <v>9027.02</v>
      </c>
      <c r="DT64" s="511">
        <f t="shared" si="136"/>
        <v>-9027.02</v>
      </c>
      <c r="DU64" s="512">
        <f t="shared" si="137"/>
        <v>0</v>
      </c>
    </row>
    <row r="65" spans="1:125" x14ac:dyDescent="0.25">
      <c r="A65" s="2" t="s">
        <v>74</v>
      </c>
      <c r="B65" s="511">
        <f>379.36</f>
        <v>379.36</v>
      </c>
      <c r="C65" s="3"/>
      <c r="D65" s="511">
        <f t="shared" si="69"/>
        <v>379.36</v>
      </c>
      <c r="E65" s="512" t="str">
        <f t="shared" si="70"/>
        <v/>
      </c>
      <c r="F65" s="3"/>
      <c r="G65" s="3"/>
      <c r="H65" s="511">
        <f t="shared" si="71"/>
        <v>0</v>
      </c>
      <c r="I65" s="512" t="str">
        <f t="shared" si="72"/>
        <v/>
      </c>
      <c r="J65" s="511">
        <f>1829.59</f>
        <v>1829.59</v>
      </c>
      <c r="K65" s="511">
        <f>2432.53</f>
        <v>2432.5300000000002</v>
      </c>
      <c r="L65" s="511">
        <f t="shared" si="73"/>
        <v>-602.94000000000028</v>
      </c>
      <c r="M65" s="512">
        <f t="shared" si="74"/>
        <v>0.75213460882291272</v>
      </c>
      <c r="N65" s="3"/>
      <c r="O65" s="3"/>
      <c r="P65" s="511">
        <f t="shared" si="75"/>
        <v>0</v>
      </c>
      <c r="Q65" s="512" t="str">
        <f t="shared" si="76"/>
        <v/>
      </c>
      <c r="R65" s="511">
        <f>271.19</f>
        <v>271.19</v>
      </c>
      <c r="S65" s="3"/>
      <c r="T65" s="511">
        <f t="shared" si="77"/>
        <v>271.19</v>
      </c>
      <c r="U65" s="512" t="str">
        <f t="shared" si="78"/>
        <v/>
      </c>
      <c r="V65" s="511">
        <f>1037.46</f>
        <v>1037.46</v>
      </c>
      <c r="W65" s="511">
        <f>2644.12</f>
        <v>2644.12</v>
      </c>
      <c r="X65" s="511">
        <f t="shared" si="79"/>
        <v>-1606.6599999999999</v>
      </c>
      <c r="Y65" s="512">
        <f t="shared" si="80"/>
        <v>0.39236494561517632</v>
      </c>
      <c r="Z65" s="511">
        <f>3.68</f>
        <v>3.68</v>
      </c>
      <c r="AA65" s="3"/>
      <c r="AB65" s="511">
        <f t="shared" si="81"/>
        <v>3.68</v>
      </c>
      <c r="AC65" s="512" t="str">
        <f t="shared" si="82"/>
        <v/>
      </c>
      <c r="AD65" s="511">
        <f>3.68</f>
        <v>3.68</v>
      </c>
      <c r="AE65" s="3"/>
      <c r="AF65" s="511">
        <f t="shared" si="83"/>
        <v>3.68</v>
      </c>
      <c r="AG65" s="512" t="str">
        <f t="shared" si="84"/>
        <v/>
      </c>
      <c r="AH65" s="511">
        <f>244.57</f>
        <v>244.57</v>
      </c>
      <c r="AI65" s="3"/>
      <c r="AJ65" s="511">
        <f t="shared" si="85"/>
        <v>244.57</v>
      </c>
      <c r="AK65" s="512" t="str">
        <f t="shared" si="86"/>
        <v/>
      </c>
      <c r="AL65" s="511">
        <f>145.88</f>
        <v>145.88</v>
      </c>
      <c r="AM65" s="3"/>
      <c r="AN65" s="511">
        <f t="shared" si="87"/>
        <v>145.88</v>
      </c>
      <c r="AO65" s="512" t="str">
        <f t="shared" si="88"/>
        <v/>
      </c>
      <c r="AP65" s="511">
        <f>72.35</f>
        <v>72.349999999999994</v>
      </c>
      <c r="AQ65" s="3"/>
      <c r="AR65" s="511">
        <f t="shared" si="89"/>
        <v>72.349999999999994</v>
      </c>
      <c r="AS65" s="512" t="str">
        <f t="shared" si="90"/>
        <v/>
      </c>
      <c r="AT65" s="511">
        <f>77.21</f>
        <v>77.209999999999994</v>
      </c>
      <c r="AU65" s="3"/>
      <c r="AV65" s="511">
        <f t="shared" si="91"/>
        <v>77.209999999999994</v>
      </c>
      <c r="AW65" s="512" t="str">
        <f t="shared" si="92"/>
        <v/>
      </c>
      <c r="AX65" s="511">
        <f t="shared" si="138"/>
        <v>1584.83</v>
      </c>
      <c r="AY65" s="511">
        <f t="shared" si="138"/>
        <v>2644.12</v>
      </c>
      <c r="AZ65" s="511">
        <f t="shared" si="94"/>
        <v>-1059.29</v>
      </c>
      <c r="BA65" s="512">
        <f t="shared" si="95"/>
        <v>0.59937899944026751</v>
      </c>
      <c r="BB65" s="511">
        <f>514.3</f>
        <v>514.29999999999995</v>
      </c>
      <c r="BC65" s="511">
        <f>1339.16</f>
        <v>1339.16</v>
      </c>
      <c r="BD65" s="511">
        <f t="shared" si="96"/>
        <v>-824.86000000000013</v>
      </c>
      <c r="BE65" s="512">
        <f t="shared" si="97"/>
        <v>0.38404671585172789</v>
      </c>
      <c r="BF65" s="511">
        <f>7.35</f>
        <v>7.35</v>
      </c>
      <c r="BG65" s="3"/>
      <c r="BH65" s="511">
        <f t="shared" si="98"/>
        <v>7.35</v>
      </c>
      <c r="BI65" s="512" t="str">
        <f t="shared" si="99"/>
        <v/>
      </c>
      <c r="BJ65" s="511">
        <f>74.93</f>
        <v>74.930000000000007</v>
      </c>
      <c r="BK65" s="3"/>
      <c r="BL65" s="511">
        <f t="shared" si="100"/>
        <v>74.930000000000007</v>
      </c>
      <c r="BM65" s="512" t="str">
        <f t="shared" si="101"/>
        <v/>
      </c>
      <c r="BN65" s="511">
        <f>3.68</f>
        <v>3.68</v>
      </c>
      <c r="BO65" s="3"/>
      <c r="BP65" s="511">
        <f t="shared" si="102"/>
        <v>3.68</v>
      </c>
      <c r="BQ65" s="512" t="str">
        <f t="shared" si="103"/>
        <v/>
      </c>
      <c r="BR65" s="511">
        <f t="shared" si="139"/>
        <v>600.25999999999988</v>
      </c>
      <c r="BS65" s="511">
        <f t="shared" si="139"/>
        <v>1339.16</v>
      </c>
      <c r="BT65" s="511">
        <f t="shared" si="105"/>
        <v>-738.9000000000002</v>
      </c>
      <c r="BU65" s="512">
        <f t="shared" si="106"/>
        <v>0.4482362077720361</v>
      </c>
      <c r="BV65" s="511">
        <f>1131.82</f>
        <v>1131.82</v>
      </c>
      <c r="BW65" s="3"/>
      <c r="BX65" s="511">
        <f t="shared" si="107"/>
        <v>1131.82</v>
      </c>
      <c r="BY65" s="512" t="str">
        <f t="shared" si="108"/>
        <v/>
      </c>
      <c r="BZ65" s="511">
        <f>574.56</f>
        <v>574.55999999999995</v>
      </c>
      <c r="CA65" s="511">
        <f>1302.33</f>
        <v>1302.33</v>
      </c>
      <c r="CB65" s="511">
        <f t="shared" si="109"/>
        <v>-727.77</v>
      </c>
      <c r="CC65" s="512">
        <f t="shared" si="110"/>
        <v>0.4411785031443643</v>
      </c>
      <c r="CD65" s="511">
        <f>52.25</f>
        <v>52.25</v>
      </c>
      <c r="CE65" s="3"/>
      <c r="CF65" s="511">
        <f t="shared" si="111"/>
        <v>52.25</v>
      </c>
      <c r="CG65" s="512" t="str">
        <f t="shared" si="112"/>
        <v/>
      </c>
      <c r="CH65" s="3"/>
      <c r="CI65" s="3"/>
      <c r="CJ65" s="511">
        <f t="shared" si="113"/>
        <v>0</v>
      </c>
      <c r="CK65" s="512" t="str">
        <f t="shared" si="114"/>
        <v/>
      </c>
      <c r="CL65" s="511">
        <f t="shared" si="140"/>
        <v>52.25</v>
      </c>
      <c r="CM65" s="511">
        <f t="shared" si="140"/>
        <v>0</v>
      </c>
      <c r="CN65" s="511">
        <f t="shared" si="116"/>
        <v>52.25</v>
      </c>
      <c r="CO65" s="512" t="str">
        <f t="shared" si="117"/>
        <v/>
      </c>
      <c r="CP65" s="3"/>
      <c r="CQ65" s="3"/>
      <c r="CR65" s="511">
        <f t="shared" si="118"/>
        <v>0</v>
      </c>
      <c r="CS65" s="512" t="str">
        <f t="shared" si="119"/>
        <v/>
      </c>
      <c r="CT65" s="3"/>
      <c r="CU65" s="3"/>
      <c r="CV65" s="511">
        <f t="shared" si="120"/>
        <v>0</v>
      </c>
      <c r="CW65" s="512" t="str">
        <f t="shared" si="121"/>
        <v/>
      </c>
      <c r="CX65" s="511">
        <f t="shared" si="141"/>
        <v>0</v>
      </c>
      <c r="CY65" s="511">
        <f t="shared" si="141"/>
        <v>0</v>
      </c>
      <c r="CZ65" s="511">
        <f t="shared" si="123"/>
        <v>0</v>
      </c>
      <c r="DA65" s="512" t="str">
        <f t="shared" si="124"/>
        <v/>
      </c>
      <c r="DB65" s="3"/>
      <c r="DC65" s="3"/>
      <c r="DD65" s="511">
        <f t="shared" si="125"/>
        <v>0</v>
      </c>
      <c r="DE65" s="512" t="str">
        <f t="shared" si="126"/>
        <v/>
      </c>
      <c r="DF65" s="511">
        <f>246.75</f>
        <v>246.75</v>
      </c>
      <c r="DG65" s="3"/>
      <c r="DH65" s="511">
        <f t="shared" si="127"/>
        <v>246.75</v>
      </c>
      <c r="DI65" s="512" t="str">
        <f t="shared" si="128"/>
        <v/>
      </c>
      <c r="DJ65" s="511">
        <f t="shared" si="142"/>
        <v>246.75</v>
      </c>
      <c r="DK65" s="511">
        <f t="shared" si="142"/>
        <v>0</v>
      </c>
      <c r="DL65" s="511">
        <f t="shared" si="130"/>
        <v>246.75</v>
      </c>
      <c r="DM65" s="512" t="str">
        <f t="shared" si="131"/>
        <v/>
      </c>
      <c r="DN65" s="3"/>
      <c r="DO65" s="3"/>
      <c r="DP65" s="511">
        <f t="shared" si="132"/>
        <v>0</v>
      </c>
      <c r="DQ65" s="512" t="str">
        <f t="shared" si="133"/>
        <v/>
      </c>
      <c r="DR65" s="511">
        <f t="shared" si="143"/>
        <v>6670.6099999999988</v>
      </c>
      <c r="DS65" s="511">
        <f t="shared" si="144"/>
        <v>7718.1399999999994</v>
      </c>
      <c r="DT65" s="511">
        <f t="shared" si="136"/>
        <v>-1047.5300000000007</v>
      </c>
      <c r="DU65" s="512">
        <f t="shared" si="137"/>
        <v>0.86427688536357195</v>
      </c>
    </row>
    <row r="66" spans="1:125" x14ac:dyDescent="0.25">
      <c r="A66" s="2" t="s">
        <v>75</v>
      </c>
      <c r="B66" s="511">
        <f>-1534.54</f>
        <v>-1534.54</v>
      </c>
      <c r="C66" s="3"/>
      <c r="D66" s="511">
        <f t="shared" si="69"/>
        <v>-1534.54</v>
      </c>
      <c r="E66" s="512" t="str">
        <f t="shared" si="70"/>
        <v/>
      </c>
      <c r="F66" s="3"/>
      <c r="G66" s="3"/>
      <c r="H66" s="511">
        <f t="shared" si="71"/>
        <v>0</v>
      </c>
      <c r="I66" s="512" t="str">
        <f t="shared" si="72"/>
        <v/>
      </c>
      <c r="J66" s="511">
        <f>4925.65</f>
        <v>4925.6499999999996</v>
      </c>
      <c r="K66" s="511">
        <f>5594.83</f>
        <v>5594.83</v>
      </c>
      <c r="L66" s="511">
        <f t="shared" si="73"/>
        <v>-669.18000000000029</v>
      </c>
      <c r="M66" s="512">
        <f t="shared" si="74"/>
        <v>0.8803931486747586</v>
      </c>
      <c r="N66" s="3"/>
      <c r="O66" s="3"/>
      <c r="P66" s="511">
        <f t="shared" si="75"/>
        <v>0</v>
      </c>
      <c r="Q66" s="512" t="str">
        <f t="shared" si="76"/>
        <v/>
      </c>
      <c r="R66" s="511">
        <f>2747.04</f>
        <v>2747.04</v>
      </c>
      <c r="S66" s="3"/>
      <c r="T66" s="511">
        <f t="shared" si="77"/>
        <v>2747.04</v>
      </c>
      <c r="U66" s="512" t="str">
        <f t="shared" si="78"/>
        <v/>
      </c>
      <c r="V66" s="511">
        <f>1505.9</f>
        <v>1505.9</v>
      </c>
      <c r="W66" s="511">
        <f>7667.95</f>
        <v>7667.95</v>
      </c>
      <c r="X66" s="511">
        <f t="shared" si="79"/>
        <v>-6162.0499999999993</v>
      </c>
      <c r="Y66" s="512">
        <f t="shared" si="80"/>
        <v>0.19638886534210578</v>
      </c>
      <c r="Z66" s="511">
        <f>16.35</f>
        <v>16.350000000000001</v>
      </c>
      <c r="AA66" s="3"/>
      <c r="AB66" s="511">
        <f t="shared" si="81"/>
        <v>16.350000000000001</v>
      </c>
      <c r="AC66" s="512" t="str">
        <f t="shared" si="82"/>
        <v/>
      </c>
      <c r="AD66" s="511">
        <f>16.35</f>
        <v>16.350000000000001</v>
      </c>
      <c r="AE66" s="3"/>
      <c r="AF66" s="511">
        <f t="shared" si="83"/>
        <v>16.350000000000001</v>
      </c>
      <c r="AG66" s="512" t="str">
        <f t="shared" si="84"/>
        <v/>
      </c>
      <c r="AH66" s="511">
        <f>180.01</f>
        <v>180.01</v>
      </c>
      <c r="AI66" s="3"/>
      <c r="AJ66" s="511">
        <f t="shared" si="85"/>
        <v>180.01</v>
      </c>
      <c r="AK66" s="512" t="str">
        <f t="shared" si="86"/>
        <v/>
      </c>
      <c r="AL66" s="511">
        <f>156.57</f>
        <v>156.57</v>
      </c>
      <c r="AM66" s="3"/>
      <c r="AN66" s="511">
        <f t="shared" si="87"/>
        <v>156.57</v>
      </c>
      <c r="AO66" s="512" t="str">
        <f t="shared" si="88"/>
        <v/>
      </c>
      <c r="AP66" s="511">
        <f>74.72</f>
        <v>74.72</v>
      </c>
      <c r="AQ66" s="3"/>
      <c r="AR66" s="511">
        <f t="shared" si="89"/>
        <v>74.72</v>
      </c>
      <c r="AS66" s="512" t="str">
        <f t="shared" si="90"/>
        <v/>
      </c>
      <c r="AT66" s="511">
        <f>24.95</f>
        <v>24.95</v>
      </c>
      <c r="AU66" s="3"/>
      <c r="AV66" s="511">
        <f t="shared" si="91"/>
        <v>24.95</v>
      </c>
      <c r="AW66" s="512" t="str">
        <f t="shared" si="92"/>
        <v/>
      </c>
      <c r="AX66" s="511">
        <f t="shared" si="138"/>
        <v>1974.85</v>
      </c>
      <c r="AY66" s="511">
        <f t="shared" si="138"/>
        <v>7667.95</v>
      </c>
      <c r="AZ66" s="511">
        <f t="shared" si="94"/>
        <v>-5693.1</v>
      </c>
      <c r="BA66" s="512">
        <f t="shared" si="95"/>
        <v>0.25754601947065381</v>
      </c>
      <c r="BB66" s="511">
        <f>439.75</f>
        <v>439.75</v>
      </c>
      <c r="BC66" s="511">
        <f>3883.56</f>
        <v>3883.56</v>
      </c>
      <c r="BD66" s="511">
        <f t="shared" si="96"/>
        <v>-3443.81</v>
      </c>
      <c r="BE66" s="512">
        <f t="shared" si="97"/>
        <v>0.11323373399664226</v>
      </c>
      <c r="BF66" s="511">
        <f>5.65</f>
        <v>5.65</v>
      </c>
      <c r="BG66" s="3"/>
      <c r="BH66" s="511">
        <f t="shared" si="98"/>
        <v>5.65</v>
      </c>
      <c r="BI66" s="512" t="str">
        <f t="shared" si="99"/>
        <v/>
      </c>
      <c r="BJ66" s="511">
        <f>477.76</f>
        <v>477.76</v>
      </c>
      <c r="BK66" s="3"/>
      <c r="BL66" s="511">
        <f t="shared" si="100"/>
        <v>477.76</v>
      </c>
      <c r="BM66" s="512" t="str">
        <f t="shared" si="101"/>
        <v/>
      </c>
      <c r="BN66" s="511">
        <f>3.28</f>
        <v>3.28</v>
      </c>
      <c r="BO66" s="3"/>
      <c r="BP66" s="511">
        <f t="shared" si="102"/>
        <v>3.28</v>
      </c>
      <c r="BQ66" s="512" t="str">
        <f t="shared" si="103"/>
        <v/>
      </c>
      <c r="BR66" s="511">
        <f t="shared" si="139"/>
        <v>926.43999999999994</v>
      </c>
      <c r="BS66" s="511">
        <f t="shared" si="139"/>
        <v>3883.56</v>
      </c>
      <c r="BT66" s="511">
        <f t="shared" si="105"/>
        <v>-2957.12</v>
      </c>
      <c r="BU66" s="512">
        <f t="shared" si="106"/>
        <v>0.23855431614292041</v>
      </c>
      <c r="BV66" s="511">
        <f>2287.84</f>
        <v>2287.84</v>
      </c>
      <c r="BW66" s="3"/>
      <c r="BX66" s="511">
        <f t="shared" si="107"/>
        <v>2287.84</v>
      </c>
      <c r="BY66" s="512" t="str">
        <f t="shared" si="108"/>
        <v/>
      </c>
      <c r="BZ66" s="511">
        <f>1171.28</f>
        <v>1171.28</v>
      </c>
      <c r="CA66" s="511">
        <f>2724.98</f>
        <v>2724.98</v>
      </c>
      <c r="CB66" s="511">
        <f t="shared" si="109"/>
        <v>-1553.7</v>
      </c>
      <c r="CC66" s="512">
        <f t="shared" si="110"/>
        <v>0.42983067765634975</v>
      </c>
      <c r="CD66" s="511">
        <f>1358.4</f>
        <v>1358.4</v>
      </c>
      <c r="CE66" s="3"/>
      <c r="CF66" s="511">
        <f t="shared" si="111"/>
        <v>1358.4</v>
      </c>
      <c r="CG66" s="512" t="str">
        <f t="shared" si="112"/>
        <v/>
      </c>
      <c r="CH66" s="3"/>
      <c r="CI66" s="3"/>
      <c r="CJ66" s="511">
        <f t="shared" si="113"/>
        <v>0</v>
      </c>
      <c r="CK66" s="512" t="str">
        <f t="shared" si="114"/>
        <v/>
      </c>
      <c r="CL66" s="511">
        <f t="shared" si="140"/>
        <v>1358.4</v>
      </c>
      <c r="CM66" s="511">
        <f t="shared" si="140"/>
        <v>0</v>
      </c>
      <c r="CN66" s="511">
        <f t="shared" si="116"/>
        <v>1358.4</v>
      </c>
      <c r="CO66" s="512" t="str">
        <f t="shared" si="117"/>
        <v/>
      </c>
      <c r="CP66" s="3"/>
      <c r="CQ66" s="3"/>
      <c r="CR66" s="511">
        <f t="shared" si="118"/>
        <v>0</v>
      </c>
      <c r="CS66" s="512" t="str">
        <f t="shared" si="119"/>
        <v/>
      </c>
      <c r="CT66" s="3"/>
      <c r="CU66" s="3"/>
      <c r="CV66" s="511">
        <f t="shared" si="120"/>
        <v>0</v>
      </c>
      <c r="CW66" s="512" t="str">
        <f t="shared" si="121"/>
        <v/>
      </c>
      <c r="CX66" s="511">
        <f t="shared" si="141"/>
        <v>0</v>
      </c>
      <c r="CY66" s="511">
        <f t="shared" si="141"/>
        <v>0</v>
      </c>
      <c r="CZ66" s="511">
        <f t="shared" si="123"/>
        <v>0</v>
      </c>
      <c r="DA66" s="512" t="str">
        <f t="shared" si="124"/>
        <v/>
      </c>
      <c r="DB66" s="3"/>
      <c r="DC66" s="3"/>
      <c r="DD66" s="511">
        <f t="shared" si="125"/>
        <v>0</v>
      </c>
      <c r="DE66" s="512" t="str">
        <f t="shared" si="126"/>
        <v/>
      </c>
      <c r="DF66" s="511">
        <f>122.38</f>
        <v>122.38</v>
      </c>
      <c r="DG66" s="3"/>
      <c r="DH66" s="511">
        <f t="shared" si="127"/>
        <v>122.38</v>
      </c>
      <c r="DI66" s="512" t="str">
        <f t="shared" si="128"/>
        <v/>
      </c>
      <c r="DJ66" s="511">
        <f t="shared" si="142"/>
        <v>122.38</v>
      </c>
      <c r="DK66" s="511">
        <f t="shared" si="142"/>
        <v>0</v>
      </c>
      <c r="DL66" s="511">
        <f t="shared" si="130"/>
        <v>122.38</v>
      </c>
      <c r="DM66" s="512" t="str">
        <f t="shared" si="131"/>
        <v/>
      </c>
      <c r="DN66" s="3"/>
      <c r="DO66" s="3"/>
      <c r="DP66" s="511">
        <f t="shared" si="132"/>
        <v>0</v>
      </c>
      <c r="DQ66" s="512" t="str">
        <f t="shared" si="133"/>
        <v/>
      </c>
      <c r="DR66" s="511">
        <f t="shared" si="143"/>
        <v>13979.34</v>
      </c>
      <c r="DS66" s="511">
        <f t="shared" si="144"/>
        <v>19871.32</v>
      </c>
      <c r="DT66" s="511">
        <f t="shared" si="136"/>
        <v>-5891.98</v>
      </c>
      <c r="DU66" s="512">
        <f t="shared" si="137"/>
        <v>0.703493275736086</v>
      </c>
    </row>
    <row r="67" spans="1:125" x14ac:dyDescent="0.25">
      <c r="A67" s="2" t="s">
        <v>77</v>
      </c>
      <c r="B67" s="513">
        <f>((B64)+(B65))+(B66)</f>
        <v>-1155.1799999999998</v>
      </c>
      <c r="C67" s="513">
        <f>((C64)+(C65))+(C66)</f>
        <v>0</v>
      </c>
      <c r="D67" s="513">
        <f t="shared" si="69"/>
        <v>-1155.1799999999998</v>
      </c>
      <c r="E67" s="514" t="str">
        <f t="shared" si="70"/>
        <v/>
      </c>
      <c r="F67" s="513">
        <f>((F64)+(F65))+(F66)</f>
        <v>0</v>
      </c>
      <c r="G67" s="513">
        <f>((G64)+(G65))+(G66)</f>
        <v>5542.68</v>
      </c>
      <c r="H67" s="513">
        <f t="shared" si="71"/>
        <v>-5542.68</v>
      </c>
      <c r="I67" s="514">
        <f t="shared" si="72"/>
        <v>0</v>
      </c>
      <c r="J67" s="513">
        <f>((J64)+(J65))+(J66)</f>
        <v>6755.24</v>
      </c>
      <c r="K67" s="513">
        <f>((K64)+(K65))+(K66)</f>
        <v>10054.470000000001</v>
      </c>
      <c r="L67" s="513">
        <f t="shared" si="73"/>
        <v>-3299.2300000000014</v>
      </c>
      <c r="M67" s="514">
        <f t="shared" si="74"/>
        <v>0.67186435485908247</v>
      </c>
      <c r="N67" s="513">
        <f>((N64)+(N65))+(N66)</f>
        <v>0</v>
      </c>
      <c r="O67" s="513">
        <f>((O64)+(O65))+(O66)</f>
        <v>0</v>
      </c>
      <c r="P67" s="513">
        <f t="shared" si="75"/>
        <v>0</v>
      </c>
      <c r="Q67" s="514" t="str">
        <f t="shared" si="76"/>
        <v/>
      </c>
      <c r="R67" s="513">
        <f>((R64)+(R65))+(R66)</f>
        <v>3018.23</v>
      </c>
      <c r="S67" s="513">
        <f>((S64)+(S65))+(S66)</f>
        <v>0</v>
      </c>
      <c r="T67" s="513">
        <f t="shared" si="77"/>
        <v>3018.23</v>
      </c>
      <c r="U67" s="514" t="str">
        <f t="shared" si="78"/>
        <v/>
      </c>
      <c r="V67" s="513">
        <f>((V64)+(V65))+(V66)</f>
        <v>2543.36</v>
      </c>
      <c r="W67" s="513">
        <f>((W64)+(W65))+(W66)</f>
        <v>10312.07</v>
      </c>
      <c r="X67" s="513">
        <f t="shared" si="79"/>
        <v>-7768.7099999999991</v>
      </c>
      <c r="Y67" s="514">
        <f t="shared" si="80"/>
        <v>0.24663913258928616</v>
      </c>
      <c r="Z67" s="513">
        <f>((Z64)+(Z65))+(Z66)</f>
        <v>20.03</v>
      </c>
      <c r="AA67" s="513">
        <f>((AA64)+(AA65))+(AA66)</f>
        <v>0</v>
      </c>
      <c r="AB67" s="513">
        <f t="shared" si="81"/>
        <v>20.03</v>
      </c>
      <c r="AC67" s="514" t="str">
        <f t="shared" si="82"/>
        <v/>
      </c>
      <c r="AD67" s="513">
        <f>((AD64)+(AD65))+(AD66)</f>
        <v>20.03</v>
      </c>
      <c r="AE67" s="513">
        <f>((AE64)+(AE65))+(AE66)</f>
        <v>0</v>
      </c>
      <c r="AF67" s="513">
        <f t="shared" si="83"/>
        <v>20.03</v>
      </c>
      <c r="AG67" s="514" t="str">
        <f t="shared" si="84"/>
        <v/>
      </c>
      <c r="AH67" s="513">
        <f>((AH64)+(AH65))+(AH66)</f>
        <v>424.58</v>
      </c>
      <c r="AI67" s="513">
        <f>((AI64)+(AI65))+(AI66)</f>
        <v>0</v>
      </c>
      <c r="AJ67" s="513">
        <f t="shared" si="85"/>
        <v>424.58</v>
      </c>
      <c r="AK67" s="514" t="str">
        <f t="shared" si="86"/>
        <v/>
      </c>
      <c r="AL67" s="513">
        <f>((AL64)+(AL65))+(AL66)</f>
        <v>302.45</v>
      </c>
      <c r="AM67" s="513">
        <f>((AM64)+(AM65))+(AM66)</f>
        <v>0</v>
      </c>
      <c r="AN67" s="513">
        <f t="shared" si="87"/>
        <v>302.45</v>
      </c>
      <c r="AO67" s="514" t="str">
        <f t="shared" si="88"/>
        <v/>
      </c>
      <c r="AP67" s="513">
        <f>((AP64)+(AP65))+(AP66)</f>
        <v>147.07</v>
      </c>
      <c r="AQ67" s="513">
        <f>((AQ64)+(AQ65))+(AQ66)</f>
        <v>0</v>
      </c>
      <c r="AR67" s="513">
        <f t="shared" si="89"/>
        <v>147.07</v>
      </c>
      <c r="AS67" s="514" t="str">
        <f t="shared" si="90"/>
        <v/>
      </c>
      <c r="AT67" s="513">
        <f>((AT64)+(AT65))+(AT66)</f>
        <v>102.16</v>
      </c>
      <c r="AU67" s="513">
        <f>((AU64)+(AU65))+(AU66)</f>
        <v>0</v>
      </c>
      <c r="AV67" s="513">
        <f t="shared" si="91"/>
        <v>102.16</v>
      </c>
      <c r="AW67" s="514" t="str">
        <f t="shared" si="92"/>
        <v/>
      </c>
      <c r="AX67" s="513">
        <f t="shared" si="138"/>
        <v>3559.6800000000003</v>
      </c>
      <c r="AY67" s="513">
        <f t="shared" si="138"/>
        <v>10312.07</v>
      </c>
      <c r="AZ67" s="513">
        <f t="shared" si="94"/>
        <v>-6752.3899999999994</v>
      </c>
      <c r="BA67" s="514">
        <f t="shared" si="95"/>
        <v>0.3451954845147483</v>
      </c>
      <c r="BB67" s="513">
        <f>((BB64)+(BB65))+(BB66)</f>
        <v>954.05</v>
      </c>
      <c r="BC67" s="513">
        <f>((BC64)+(BC65))+(BC66)</f>
        <v>5222.72</v>
      </c>
      <c r="BD67" s="513">
        <f t="shared" si="96"/>
        <v>-4268.67</v>
      </c>
      <c r="BE67" s="514">
        <f t="shared" si="97"/>
        <v>0.18267301329575392</v>
      </c>
      <c r="BF67" s="513">
        <f>((BF64)+(BF65))+(BF66)</f>
        <v>13</v>
      </c>
      <c r="BG67" s="513">
        <f>((BG64)+(BG65))+(BG66)</f>
        <v>0</v>
      </c>
      <c r="BH67" s="513">
        <f t="shared" si="98"/>
        <v>13</v>
      </c>
      <c r="BI67" s="514" t="str">
        <f t="shared" si="99"/>
        <v/>
      </c>
      <c r="BJ67" s="513">
        <f>((BJ64)+(BJ65))+(BJ66)</f>
        <v>552.69000000000005</v>
      </c>
      <c r="BK67" s="513">
        <f>((BK64)+(BK65))+(BK66)</f>
        <v>0</v>
      </c>
      <c r="BL67" s="513">
        <f t="shared" si="100"/>
        <v>552.69000000000005</v>
      </c>
      <c r="BM67" s="514" t="str">
        <f t="shared" si="101"/>
        <v/>
      </c>
      <c r="BN67" s="513">
        <f>((BN64)+(BN65))+(BN66)</f>
        <v>6.96</v>
      </c>
      <c r="BO67" s="513">
        <f>((BO64)+(BO65))+(BO66)</f>
        <v>0</v>
      </c>
      <c r="BP67" s="513">
        <f t="shared" si="102"/>
        <v>6.96</v>
      </c>
      <c r="BQ67" s="514" t="str">
        <f t="shared" si="103"/>
        <v/>
      </c>
      <c r="BR67" s="513">
        <f t="shared" si="139"/>
        <v>1526.7</v>
      </c>
      <c r="BS67" s="513">
        <f t="shared" si="139"/>
        <v>5222.72</v>
      </c>
      <c r="BT67" s="513">
        <f t="shared" si="105"/>
        <v>-3696.0200000000004</v>
      </c>
      <c r="BU67" s="514">
        <f t="shared" si="106"/>
        <v>0.29231894491759081</v>
      </c>
      <c r="BV67" s="513">
        <f>((BV64)+(BV65))+(BV66)</f>
        <v>3419.66</v>
      </c>
      <c r="BW67" s="513">
        <f>((BW64)+(BW65))+(BW66)</f>
        <v>1457.23</v>
      </c>
      <c r="BX67" s="513">
        <f t="shared" si="107"/>
        <v>1962.4299999999998</v>
      </c>
      <c r="BY67" s="514">
        <f t="shared" si="108"/>
        <v>2.346685149221468</v>
      </c>
      <c r="BZ67" s="513">
        <f>((BZ64)+(BZ65))+(BZ66)</f>
        <v>1745.84</v>
      </c>
      <c r="CA67" s="513">
        <f>((CA64)+(CA65))+(CA66)</f>
        <v>4027.31</v>
      </c>
      <c r="CB67" s="513">
        <f t="shared" si="109"/>
        <v>-2281.4700000000003</v>
      </c>
      <c r="CC67" s="514">
        <f t="shared" si="110"/>
        <v>0.43350027685974013</v>
      </c>
      <c r="CD67" s="513">
        <f>((CD64)+(CD65))+(CD66)</f>
        <v>1410.65</v>
      </c>
      <c r="CE67" s="513">
        <f>((CE64)+(CE65))+(CE66)</f>
        <v>0</v>
      </c>
      <c r="CF67" s="513">
        <f t="shared" si="111"/>
        <v>1410.65</v>
      </c>
      <c r="CG67" s="514" t="str">
        <f t="shared" si="112"/>
        <v/>
      </c>
      <c r="CH67" s="513">
        <f>((CH64)+(CH65))+(CH66)</f>
        <v>0</v>
      </c>
      <c r="CI67" s="513">
        <f>((CI64)+(CI65))+(CI66)</f>
        <v>0</v>
      </c>
      <c r="CJ67" s="513">
        <f t="shared" si="113"/>
        <v>0</v>
      </c>
      <c r="CK67" s="514" t="str">
        <f t="shared" si="114"/>
        <v/>
      </c>
      <c r="CL67" s="513">
        <f t="shared" si="140"/>
        <v>1410.65</v>
      </c>
      <c r="CM67" s="513">
        <f t="shared" si="140"/>
        <v>0</v>
      </c>
      <c r="CN67" s="513">
        <f t="shared" si="116"/>
        <v>1410.65</v>
      </c>
      <c r="CO67" s="514" t="str">
        <f t="shared" si="117"/>
        <v/>
      </c>
      <c r="CP67" s="513">
        <f>((CP64)+(CP65))+(CP66)</f>
        <v>0</v>
      </c>
      <c r="CQ67" s="513">
        <f>((CQ64)+(CQ65))+(CQ66)</f>
        <v>0</v>
      </c>
      <c r="CR67" s="513">
        <f t="shared" si="118"/>
        <v>0</v>
      </c>
      <c r="CS67" s="514" t="str">
        <f t="shared" si="119"/>
        <v/>
      </c>
      <c r="CT67" s="513">
        <f>((CT64)+(CT65))+(CT66)</f>
        <v>0</v>
      </c>
      <c r="CU67" s="513">
        <f>((CU64)+(CU65))+(CU66)</f>
        <v>0</v>
      </c>
      <c r="CV67" s="513">
        <f t="shared" si="120"/>
        <v>0</v>
      </c>
      <c r="CW67" s="514" t="str">
        <f t="shared" si="121"/>
        <v/>
      </c>
      <c r="CX67" s="513">
        <f t="shared" si="141"/>
        <v>0</v>
      </c>
      <c r="CY67" s="513">
        <f t="shared" si="141"/>
        <v>0</v>
      </c>
      <c r="CZ67" s="513">
        <f t="shared" si="123"/>
        <v>0</v>
      </c>
      <c r="DA67" s="514" t="str">
        <f t="shared" si="124"/>
        <v/>
      </c>
      <c r="DB67" s="513">
        <f>((DB64)+(DB65))+(DB66)</f>
        <v>0</v>
      </c>
      <c r="DC67" s="513">
        <f>((DC64)+(DC65))+(DC66)</f>
        <v>0</v>
      </c>
      <c r="DD67" s="513">
        <f t="shared" si="125"/>
        <v>0</v>
      </c>
      <c r="DE67" s="514" t="str">
        <f t="shared" si="126"/>
        <v/>
      </c>
      <c r="DF67" s="513">
        <f>((DF64)+(DF65))+(DF66)</f>
        <v>369.13</v>
      </c>
      <c r="DG67" s="513">
        <f>((DG64)+(DG65))+(DG66)</f>
        <v>0</v>
      </c>
      <c r="DH67" s="513">
        <f t="shared" si="127"/>
        <v>369.13</v>
      </c>
      <c r="DI67" s="514" t="str">
        <f t="shared" si="128"/>
        <v/>
      </c>
      <c r="DJ67" s="513">
        <f t="shared" si="142"/>
        <v>369.13</v>
      </c>
      <c r="DK67" s="513">
        <f t="shared" si="142"/>
        <v>0</v>
      </c>
      <c r="DL67" s="513">
        <f t="shared" si="130"/>
        <v>369.13</v>
      </c>
      <c r="DM67" s="514" t="str">
        <f t="shared" si="131"/>
        <v/>
      </c>
      <c r="DN67" s="513">
        <f>((DN64)+(DN65))+(DN66)</f>
        <v>0</v>
      </c>
      <c r="DO67" s="513">
        <f>((DO64)+(DO65))+(DO66)</f>
        <v>0</v>
      </c>
      <c r="DP67" s="513">
        <f t="shared" si="132"/>
        <v>0</v>
      </c>
      <c r="DQ67" s="514" t="str">
        <f t="shared" si="133"/>
        <v/>
      </c>
      <c r="DR67" s="513">
        <f t="shared" si="143"/>
        <v>20649.950000000004</v>
      </c>
      <c r="DS67" s="513">
        <f t="shared" si="144"/>
        <v>36616.480000000003</v>
      </c>
      <c r="DT67" s="513">
        <f t="shared" si="136"/>
        <v>-15966.529999999999</v>
      </c>
      <c r="DU67" s="514">
        <f t="shared" si="137"/>
        <v>0.56395235150948431</v>
      </c>
    </row>
    <row r="68" spans="1:125" x14ac:dyDescent="0.25">
      <c r="A68" s="2" t="s">
        <v>78</v>
      </c>
      <c r="B68" s="513">
        <f>(((B53)+(B59))+(B63))+(B67)</f>
        <v>25937.960000000003</v>
      </c>
      <c r="C68" s="513">
        <f>(((C53)+(C59))+(C63))+(C67)</f>
        <v>9297.4699999999993</v>
      </c>
      <c r="D68" s="513">
        <f t="shared" si="69"/>
        <v>16640.490000000005</v>
      </c>
      <c r="E68" s="514">
        <f t="shared" si="70"/>
        <v>2.7897868990166148</v>
      </c>
      <c r="F68" s="513">
        <f>(((F53)+(F59))+(F63))+(F67)</f>
        <v>66184.17</v>
      </c>
      <c r="G68" s="513">
        <f>(((G53)+(G59))+(G63))+(G67)</f>
        <v>69429.36</v>
      </c>
      <c r="H68" s="513">
        <f t="shared" si="71"/>
        <v>-3245.1900000000023</v>
      </c>
      <c r="I68" s="514">
        <f t="shared" si="72"/>
        <v>0.95325911113108341</v>
      </c>
      <c r="J68" s="513">
        <f>(((J53)+(J59))+(J63))+(J67)</f>
        <v>78742.790000000008</v>
      </c>
      <c r="K68" s="513">
        <f>(((K53)+(K59))+(K63))+(K67)</f>
        <v>97341.85</v>
      </c>
      <c r="L68" s="513">
        <f t="shared" si="73"/>
        <v>-18599.059999999998</v>
      </c>
      <c r="M68" s="514">
        <f t="shared" si="74"/>
        <v>0.8089304857057884</v>
      </c>
      <c r="N68" s="513">
        <f>(((N53)+(N59))+(N63))+(N67)</f>
        <v>0</v>
      </c>
      <c r="O68" s="513">
        <f>(((O53)+(O59))+(O63))+(O67)</f>
        <v>0</v>
      </c>
      <c r="P68" s="513">
        <f t="shared" si="75"/>
        <v>0</v>
      </c>
      <c r="Q68" s="514" t="str">
        <f t="shared" si="76"/>
        <v/>
      </c>
      <c r="R68" s="513">
        <f>(((R53)+(R59))+(R63))+(R67)</f>
        <v>36597.090000000004</v>
      </c>
      <c r="S68" s="513">
        <f>(((S53)+(S59))+(S63))+(S67)</f>
        <v>0</v>
      </c>
      <c r="T68" s="513">
        <f t="shared" si="77"/>
        <v>36597.090000000004</v>
      </c>
      <c r="U68" s="514" t="str">
        <f t="shared" si="78"/>
        <v/>
      </c>
      <c r="V68" s="513">
        <f>(((V53)+(V59))+(V63))+(V67)</f>
        <v>61500.5</v>
      </c>
      <c r="W68" s="513">
        <f>(((W53)+(W59))+(W63))+(W67)</f>
        <v>105191.93</v>
      </c>
      <c r="X68" s="513">
        <f t="shared" si="79"/>
        <v>-43691.429999999993</v>
      </c>
      <c r="Y68" s="514">
        <f t="shared" si="80"/>
        <v>0.58465036243749879</v>
      </c>
      <c r="Z68" s="513">
        <f>(((Z53)+(Z59))+(Z63))+(Z67)</f>
        <v>978.59</v>
      </c>
      <c r="AA68" s="513">
        <f>(((AA53)+(AA59))+(AA63))+(AA67)</f>
        <v>0</v>
      </c>
      <c r="AB68" s="513">
        <f t="shared" si="81"/>
        <v>978.59</v>
      </c>
      <c r="AC68" s="514" t="str">
        <f t="shared" si="82"/>
        <v/>
      </c>
      <c r="AD68" s="513">
        <f>(((AD53)+(AD59))+(AD63))+(AD67)</f>
        <v>791.7</v>
      </c>
      <c r="AE68" s="513">
        <f>(((AE53)+(AE59))+(AE63))+(AE67)</f>
        <v>0</v>
      </c>
      <c r="AF68" s="513">
        <f t="shared" si="83"/>
        <v>791.7</v>
      </c>
      <c r="AG68" s="514" t="str">
        <f t="shared" si="84"/>
        <v/>
      </c>
      <c r="AH68" s="513">
        <f>(((AH53)+(AH59))+(AH63))+(AH67)</f>
        <v>22124.04</v>
      </c>
      <c r="AI68" s="513">
        <f>(((AI53)+(AI59))+(AI63))+(AI67)</f>
        <v>0</v>
      </c>
      <c r="AJ68" s="513">
        <f t="shared" si="85"/>
        <v>22124.04</v>
      </c>
      <c r="AK68" s="514" t="str">
        <f t="shared" si="86"/>
        <v/>
      </c>
      <c r="AL68" s="513">
        <f>(((AL53)+(AL59))+(AL63))+(AL67)</f>
        <v>16149.5</v>
      </c>
      <c r="AM68" s="513">
        <f>(((AM53)+(AM59))+(AM63))+(AM67)</f>
        <v>0</v>
      </c>
      <c r="AN68" s="513">
        <f t="shared" si="87"/>
        <v>16149.5</v>
      </c>
      <c r="AO68" s="514" t="str">
        <f t="shared" si="88"/>
        <v/>
      </c>
      <c r="AP68" s="513">
        <f>(((AP53)+(AP59))+(AP63))+(AP67)</f>
        <v>7490.2199999999993</v>
      </c>
      <c r="AQ68" s="513">
        <f>(((AQ53)+(AQ59))+(AQ63))+(AQ67)</f>
        <v>0</v>
      </c>
      <c r="AR68" s="513">
        <f t="shared" si="89"/>
        <v>7490.2199999999993</v>
      </c>
      <c r="AS68" s="514" t="str">
        <f t="shared" si="90"/>
        <v/>
      </c>
      <c r="AT68" s="513">
        <f>(((AT53)+(AT59))+(AT63))+(AT67)</f>
        <v>8704.64</v>
      </c>
      <c r="AU68" s="513">
        <f>(((AU53)+(AU59))+(AU63))+(AU67)</f>
        <v>0</v>
      </c>
      <c r="AV68" s="513">
        <f t="shared" si="91"/>
        <v>8704.64</v>
      </c>
      <c r="AW68" s="514" t="str">
        <f t="shared" si="92"/>
        <v/>
      </c>
      <c r="AX68" s="513">
        <f t="shared" si="138"/>
        <v>117739.18999999999</v>
      </c>
      <c r="AY68" s="513">
        <f t="shared" si="138"/>
        <v>105191.93</v>
      </c>
      <c r="AZ68" s="513">
        <f t="shared" si="94"/>
        <v>12547.259999999995</v>
      </c>
      <c r="BA68" s="514">
        <f t="shared" si="95"/>
        <v>1.1192796823862818</v>
      </c>
      <c r="BB68" s="513">
        <f>(((BB53)+(BB59))+(BB63))+(BB67)</f>
        <v>36627.39</v>
      </c>
      <c r="BC68" s="513">
        <f>(((BC53)+(BC59))+(BC63))+(BC67)</f>
        <v>53276.11</v>
      </c>
      <c r="BD68" s="513">
        <f t="shared" si="96"/>
        <v>-16648.72</v>
      </c>
      <c r="BE68" s="514">
        <f t="shared" si="97"/>
        <v>0.68750120832771011</v>
      </c>
      <c r="BF68" s="513">
        <f>(((BF53)+(BF59))+(BF63))+(BF67)</f>
        <v>4230.38</v>
      </c>
      <c r="BG68" s="513">
        <f>(((BG53)+(BG59))+(BG63))+(BG67)</f>
        <v>0</v>
      </c>
      <c r="BH68" s="513">
        <f t="shared" si="98"/>
        <v>4230.38</v>
      </c>
      <c r="BI68" s="514" t="str">
        <f t="shared" si="99"/>
        <v/>
      </c>
      <c r="BJ68" s="513">
        <f>(((BJ53)+(BJ59))+(BJ63))+(BJ67)</f>
        <v>13985.78</v>
      </c>
      <c r="BK68" s="513">
        <f>(((BK53)+(BK59))+(BK63))+(BK67)</f>
        <v>0</v>
      </c>
      <c r="BL68" s="513">
        <f t="shared" si="100"/>
        <v>13985.78</v>
      </c>
      <c r="BM68" s="514" t="str">
        <f t="shared" si="101"/>
        <v/>
      </c>
      <c r="BN68" s="513">
        <f>(((BN53)+(BN59))+(BN63))+(BN67)</f>
        <v>2912.6800000000003</v>
      </c>
      <c r="BO68" s="513">
        <f>(((BO53)+(BO59))+(BO63))+(BO67)</f>
        <v>0</v>
      </c>
      <c r="BP68" s="513">
        <f t="shared" si="102"/>
        <v>2912.6800000000003</v>
      </c>
      <c r="BQ68" s="514" t="str">
        <f t="shared" si="103"/>
        <v/>
      </c>
      <c r="BR68" s="513">
        <f t="shared" si="139"/>
        <v>57756.229999999996</v>
      </c>
      <c r="BS68" s="513">
        <f t="shared" si="139"/>
        <v>53276.11</v>
      </c>
      <c r="BT68" s="513">
        <f t="shared" si="105"/>
        <v>4480.1199999999953</v>
      </c>
      <c r="BU68" s="514">
        <f t="shared" si="106"/>
        <v>1.0840924759709369</v>
      </c>
      <c r="BV68" s="513">
        <f>(((BV53)+(BV59))+(BV63))+(BV67)</f>
        <v>47825.36</v>
      </c>
      <c r="BW68" s="513">
        <f>(((BW53)+(BW59))+(BW63))+(BW67)</f>
        <v>25288.03</v>
      </c>
      <c r="BX68" s="513">
        <f t="shared" si="107"/>
        <v>22537.33</v>
      </c>
      <c r="BY68" s="514">
        <f t="shared" si="108"/>
        <v>1.8912252160409491</v>
      </c>
      <c r="BZ68" s="513">
        <f>(((BZ53)+(BZ59))+(BZ63))+(BZ67)</f>
        <v>40655.74</v>
      </c>
      <c r="CA68" s="513">
        <f>(((CA53)+(CA59))+(CA63))+(CA67)</f>
        <v>50759.25</v>
      </c>
      <c r="CB68" s="513">
        <f t="shared" si="109"/>
        <v>-10103.510000000002</v>
      </c>
      <c r="CC68" s="514">
        <f t="shared" si="110"/>
        <v>0.80095233873628946</v>
      </c>
      <c r="CD68" s="513">
        <f>(((CD53)+(CD59))+(CD63))+(CD67)</f>
        <v>9785.9</v>
      </c>
      <c r="CE68" s="513">
        <f>(((CE53)+(CE59))+(CE63))+(CE67)</f>
        <v>0</v>
      </c>
      <c r="CF68" s="513">
        <f t="shared" si="111"/>
        <v>9785.9</v>
      </c>
      <c r="CG68" s="514" t="str">
        <f t="shared" si="112"/>
        <v/>
      </c>
      <c r="CH68" s="513">
        <f>(((CH53)+(CH59))+(CH63))+(CH67)</f>
        <v>0</v>
      </c>
      <c r="CI68" s="513">
        <f>(((CI53)+(CI59))+(CI63))+(CI67)</f>
        <v>0</v>
      </c>
      <c r="CJ68" s="513">
        <f t="shared" si="113"/>
        <v>0</v>
      </c>
      <c r="CK68" s="514" t="str">
        <f t="shared" si="114"/>
        <v/>
      </c>
      <c r="CL68" s="513">
        <f t="shared" si="140"/>
        <v>9785.9</v>
      </c>
      <c r="CM68" s="513">
        <f t="shared" si="140"/>
        <v>0</v>
      </c>
      <c r="CN68" s="513">
        <f t="shared" si="116"/>
        <v>9785.9</v>
      </c>
      <c r="CO68" s="514" t="str">
        <f t="shared" si="117"/>
        <v/>
      </c>
      <c r="CP68" s="513">
        <f>(((CP53)+(CP59))+(CP63))+(CP67)</f>
        <v>7157.68</v>
      </c>
      <c r="CQ68" s="513">
        <f>(((CQ53)+(CQ59))+(CQ63))+(CQ67)</f>
        <v>0</v>
      </c>
      <c r="CR68" s="513">
        <f t="shared" si="118"/>
        <v>7157.68</v>
      </c>
      <c r="CS68" s="514" t="str">
        <f t="shared" si="119"/>
        <v/>
      </c>
      <c r="CT68" s="513">
        <f>(((CT53)+(CT59))+(CT63))+(CT67)</f>
        <v>13416.15</v>
      </c>
      <c r="CU68" s="513">
        <f>(((CU53)+(CU59))+(CU63))+(CU67)</f>
        <v>23920</v>
      </c>
      <c r="CV68" s="513">
        <f t="shared" si="120"/>
        <v>-10503.85</v>
      </c>
      <c r="CW68" s="514">
        <f t="shared" si="121"/>
        <v>0.56087583612040137</v>
      </c>
      <c r="CX68" s="513">
        <f t="shared" si="141"/>
        <v>20573.830000000002</v>
      </c>
      <c r="CY68" s="513">
        <f t="shared" si="141"/>
        <v>23920</v>
      </c>
      <c r="CZ68" s="513">
        <f t="shared" si="123"/>
        <v>-3346.1699999999983</v>
      </c>
      <c r="DA68" s="514">
        <f t="shared" si="124"/>
        <v>0.860109949832776</v>
      </c>
      <c r="DB68" s="513">
        <f>(((DB53)+(DB59))+(DB63))+(DB67)</f>
        <v>0</v>
      </c>
      <c r="DC68" s="513">
        <f>(((DC53)+(DC59))+(DC63))+(DC67)</f>
        <v>0</v>
      </c>
      <c r="DD68" s="513">
        <f t="shared" si="125"/>
        <v>0</v>
      </c>
      <c r="DE68" s="514" t="str">
        <f t="shared" si="126"/>
        <v/>
      </c>
      <c r="DF68" s="513">
        <f>(((DF53)+(DF59))+(DF63))+(DF67)</f>
        <v>16727.510000000002</v>
      </c>
      <c r="DG68" s="513">
        <f>(((DG53)+(DG59))+(DG63))+(DG67)</f>
        <v>0</v>
      </c>
      <c r="DH68" s="513">
        <f t="shared" si="127"/>
        <v>16727.510000000002</v>
      </c>
      <c r="DI68" s="514" t="str">
        <f t="shared" si="128"/>
        <v/>
      </c>
      <c r="DJ68" s="513">
        <f t="shared" si="142"/>
        <v>16727.510000000002</v>
      </c>
      <c r="DK68" s="513">
        <f t="shared" si="142"/>
        <v>0</v>
      </c>
      <c r="DL68" s="513">
        <f t="shared" si="130"/>
        <v>16727.510000000002</v>
      </c>
      <c r="DM68" s="514" t="str">
        <f t="shared" si="131"/>
        <v/>
      </c>
      <c r="DN68" s="513">
        <f>(((DN53)+(DN59))+(DN63))+(DN67)</f>
        <v>0</v>
      </c>
      <c r="DO68" s="513">
        <f>(((DO53)+(DO59))+(DO63))+(DO67)</f>
        <v>0</v>
      </c>
      <c r="DP68" s="513">
        <f t="shared" si="132"/>
        <v>0</v>
      </c>
      <c r="DQ68" s="514" t="str">
        <f t="shared" si="133"/>
        <v/>
      </c>
      <c r="DR68" s="513">
        <f t="shared" si="143"/>
        <v>518525.77</v>
      </c>
      <c r="DS68" s="513">
        <f t="shared" si="144"/>
        <v>434504</v>
      </c>
      <c r="DT68" s="513">
        <f t="shared" si="136"/>
        <v>84021.770000000019</v>
      </c>
      <c r="DU68" s="514">
        <f t="shared" si="137"/>
        <v>1.1933739850496199</v>
      </c>
    </row>
    <row r="69" spans="1:125" x14ac:dyDescent="0.25">
      <c r="A69" s="2" t="s">
        <v>79</v>
      </c>
      <c r="B69" s="3"/>
      <c r="C69" s="3"/>
      <c r="D69" s="511">
        <f t="shared" si="69"/>
        <v>0</v>
      </c>
      <c r="E69" s="512" t="str">
        <f t="shared" si="70"/>
        <v/>
      </c>
      <c r="F69" s="3"/>
      <c r="G69" s="3"/>
      <c r="H69" s="511">
        <f t="shared" si="71"/>
        <v>0</v>
      </c>
      <c r="I69" s="512" t="str">
        <f t="shared" si="72"/>
        <v/>
      </c>
      <c r="J69" s="3"/>
      <c r="K69" s="3"/>
      <c r="L69" s="511">
        <f t="shared" si="73"/>
        <v>0</v>
      </c>
      <c r="M69" s="512" t="str">
        <f t="shared" si="74"/>
        <v/>
      </c>
      <c r="N69" s="3"/>
      <c r="O69" s="3"/>
      <c r="P69" s="511">
        <f t="shared" si="75"/>
        <v>0</v>
      </c>
      <c r="Q69" s="512" t="str">
        <f t="shared" si="76"/>
        <v/>
      </c>
      <c r="R69" s="3"/>
      <c r="S69" s="3"/>
      <c r="T69" s="511">
        <f t="shared" si="77"/>
        <v>0</v>
      </c>
      <c r="U69" s="512" t="str">
        <f t="shared" si="78"/>
        <v/>
      </c>
      <c r="V69" s="3"/>
      <c r="W69" s="3"/>
      <c r="X69" s="511">
        <f t="shared" si="79"/>
        <v>0</v>
      </c>
      <c r="Y69" s="512" t="str">
        <f t="shared" si="80"/>
        <v/>
      </c>
      <c r="Z69" s="3"/>
      <c r="AA69" s="3"/>
      <c r="AB69" s="511">
        <f t="shared" si="81"/>
        <v>0</v>
      </c>
      <c r="AC69" s="512" t="str">
        <f t="shared" si="82"/>
        <v/>
      </c>
      <c r="AD69" s="3"/>
      <c r="AE69" s="3"/>
      <c r="AF69" s="511">
        <f t="shared" si="83"/>
        <v>0</v>
      </c>
      <c r="AG69" s="512" t="str">
        <f t="shared" si="84"/>
        <v/>
      </c>
      <c r="AH69" s="3"/>
      <c r="AI69" s="3"/>
      <c r="AJ69" s="511">
        <f t="shared" si="85"/>
        <v>0</v>
      </c>
      <c r="AK69" s="512" t="str">
        <f t="shared" si="86"/>
        <v/>
      </c>
      <c r="AL69" s="3"/>
      <c r="AM69" s="3"/>
      <c r="AN69" s="511">
        <f t="shared" si="87"/>
        <v>0</v>
      </c>
      <c r="AO69" s="512" t="str">
        <f t="shared" si="88"/>
        <v/>
      </c>
      <c r="AP69" s="3"/>
      <c r="AQ69" s="3"/>
      <c r="AR69" s="511">
        <f t="shared" si="89"/>
        <v>0</v>
      </c>
      <c r="AS69" s="512" t="str">
        <f t="shared" si="90"/>
        <v/>
      </c>
      <c r="AT69" s="3"/>
      <c r="AU69" s="3"/>
      <c r="AV69" s="511">
        <f t="shared" si="91"/>
        <v>0</v>
      </c>
      <c r="AW69" s="512" t="str">
        <f t="shared" si="92"/>
        <v/>
      </c>
      <c r="AX69" s="511">
        <f t="shared" si="138"/>
        <v>0</v>
      </c>
      <c r="AY69" s="511">
        <f t="shared" si="138"/>
        <v>0</v>
      </c>
      <c r="AZ69" s="511">
        <f t="shared" si="94"/>
        <v>0</v>
      </c>
      <c r="BA69" s="512" t="str">
        <f t="shared" si="95"/>
        <v/>
      </c>
      <c r="BB69" s="3"/>
      <c r="BC69" s="3"/>
      <c r="BD69" s="511">
        <f t="shared" si="96"/>
        <v>0</v>
      </c>
      <c r="BE69" s="512" t="str">
        <f t="shared" si="97"/>
        <v/>
      </c>
      <c r="BF69" s="3"/>
      <c r="BG69" s="3"/>
      <c r="BH69" s="511">
        <f t="shared" si="98"/>
        <v>0</v>
      </c>
      <c r="BI69" s="512" t="str">
        <f t="shared" si="99"/>
        <v/>
      </c>
      <c r="BJ69" s="3"/>
      <c r="BK69" s="3"/>
      <c r="BL69" s="511">
        <f t="shared" si="100"/>
        <v>0</v>
      </c>
      <c r="BM69" s="512" t="str">
        <f t="shared" si="101"/>
        <v/>
      </c>
      <c r="BN69" s="3"/>
      <c r="BO69" s="3"/>
      <c r="BP69" s="511">
        <f t="shared" si="102"/>
        <v>0</v>
      </c>
      <c r="BQ69" s="512" t="str">
        <f t="shared" si="103"/>
        <v/>
      </c>
      <c r="BR69" s="511">
        <f t="shared" si="139"/>
        <v>0</v>
      </c>
      <c r="BS69" s="511">
        <f t="shared" si="139"/>
        <v>0</v>
      </c>
      <c r="BT69" s="511">
        <f t="shared" si="105"/>
        <v>0</v>
      </c>
      <c r="BU69" s="512" t="str">
        <f t="shared" si="106"/>
        <v/>
      </c>
      <c r="BV69" s="3"/>
      <c r="BW69" s="3"/>
      <c r="BX69" s="511">
        <f t="shared" si="107"/>
        <v>0</v>
      </c>
      <c r="BY69" s="512" t="str">
        <f t="shared" si="108"/>
        <v/>
      </c>
      <c r="BZ69" s="3"/>
      <c r="CA69" s="3"/>
      <c r="CB69" s="511">
        <f t="shared" si="109"/>
        <v>0</v>
      </c>
      <c r="CC69" s="512" t="str">
        <f t="shared" si="110"/>
        <v/>
      </c>
      <c r="CD69" s="3"/>
      <c r="CE69" s="3"/>
      <c r="CF69" s="511">
        <f t="shared" si="111"/>
        <v>0</v>
      </c>
      <c r="CG69" s="512" t="str">
        <f t="shared" si="112"/>
        <v/>
      </c>
      <c r="CH69" s="3"/>
      <c r="CI69" s="3"/>
      <c r="CJ69" s="511">
        <f t="shared" si="113"/>
        <v>0</v>
      </c>
      <c r="CK69" s="512" t="str">
        <f t="shared" si="114"/>
        <v/>
      </c>
      <c r="CL69" s="511">
        <f t="shared" si="140"/>
        <v>0</v>
      </c>
      <c r="CM69" s="511">
        <f t="shared" si="140"/>
        <v>0</v>
      </c>
      <c r="CN69" s="511">
        <f t="shared" si="116"/>
        <v>0</v>
      </c>
      <c r="CO69" s="512" t="str">
        <f t="shared" si="117"/>
        <v/>
      </c>
      <c r="CP69" s="3"/>
      <c r="CQ69" s="3"/>
      <c r="CR69" s="511">
        <f t="shared" si="118"/>
        <v>0</v>
      </c>
      <c r="CS69" s="512" t="str">
        <f t="shared" si="119"/>
        <v/>
      </c>
      <c r="CT69" s="3"/>
      <c r="CU69" s="3"/>
      <c r="CV69" s="511">
        <f t="shared" si="120"/>
        <v>0</v>
      </c>
      <c r="CW69" s="512" t="str">
        <f t="shared" si="121"/>
        <v/>
      </c>
      <c r="CX69" s="511">
        <f t="shared" si="141"/>
        <v>0</v>
      </c>
      <c r="CY69" s="511">
        <f t="shared" si="141"/>
        <v>0</v>
      </c>
      <c r="CZ69" s="511">
        <f t="shared" si="123"/>
        <v>0</v>
      </c>
      <c r="DA69" s="512" t="str">
        <f t="shared" si="124"/>
        <v/>
      </c>
      <c r="DB69" s="3"/>
      <c r="DC69" s="3"/>
      <c r="DD69" s="511">
        <f t="shared" si="125"/>
        <v>0</v>
      </c>
      <c r="DE69" s="512" t="str">
        <f t="shared" si="126"/>
        <v/>
      </c>
      <c r="DF69" s="3"/>
      <c r="DG69" s="3"/>
      <c r="DH69" s="511">
        <f t="shared" si="127"/>
        <v>0</v>
      </c>
      <c r="DI69" s="512" t="str">
        <f t="shared" si="128"/>
        <v/>
      </c>
      <c r="DJ69" s="511">
        <f t="shared" si="142"/>
        <v>0</v>
      </c>
      <c r="DK69" s="511">
        <f t="shared" si="142"/>
        <v>0</v>
      </c>
      <c r="DL69" s="511">
        <f t="shared" si="130"/>
        <v>0</v>
      </c>
      <c r="DM69" s="512" t="str">
        <f t="shared" si="131"/>
        <v/>
      </c>
      <c r="DN69" s="3"/>
      <c r="DO69" s="3"/>
      <c r="DP69" s="511">
        <f t="shared" si="132"/>
        <v>0</v>
      </c>
      <c r="DQ69" s="512" t="str">
        <f t="shared" si="133"/>
        <v/>
      </c>
      <c r="DR69" s="511">
        <f t="shared" si="143"/>
        <v>0</v>
      </c>
      <c r="DS69" s="511">
        <f t="shared" si="144"/>
        <v>0</v>
      </c>
      <c r="DT69" s="511">
        <f t="shared" si="136"/>
        <v>0</v>
      </c>
      <c r="DU69" s="512" t="str">
        <f t="shared" si="137"/>
        <v/>
      </c>
    </row>
    <row r="70" spans="1:125" x14ac:dyDescent="0.25">
      <c r="A70" s="2" t="s">
        <v>123</v>
      </c>
      <c r="B70" s="3"/>
      <c r="C70" s="511">
        <f>30000</f>
        <v>30000</v>
      </c>
      <c r="D70" s="511">
        <f t="shared" si="69"/>
        <v>-30000</v>
      </c>
      <c r="E70" s="512">
        <f t="shared" si="70"/>
        <v>0</v>
      </c>
      <c r="F70" s="3"/>
      <c r="G70" s="3"/>
      <c r="H70" s="511">
        <f t="shared" si="71"/>
        <v>0</v>
      </c>
      <c r="I70" s="512" t="str">
        <f t="shared" si="72"/>
        <v/>
      </c>
      <c r="J70" s="3"/>
      <c r="K70" s="3"/>
      <c r="L70" s="511">
        <f t="shared" si="73"/>
        <v>0</v>
      </c>
      <c r="M70" s="512" t="str">
        <f t="shared" si="74"/>
        <v/>
      </c>
      <c r="N70" s="511">
        <f>35250</f>
        <v>35250</v>
      </c>
      <c r="O70" s="3"/>
      <c r="P70" s="511">
        <f t="shared" si="75"/>
        <v>35250</v>
      </c>
      <c r="Q70" s="512" t="str">
        <f t="shared" si="76"/>
        <v/>
      </c>
      <c r="R70" s="3"/>
      <c r="S70" s="3"/>
      <c r="T70" s="511">
        <f t="shared" si="77"/>
        <v>0</v>
      </c>
      <c r="U70" s="512" t="str">
        <f t="shared" si="78"/>
        <v/>
      </c>
      <c r="V70" s="3"/>
      <c r="W70" s="3"/>
      <c r="X70" s="511">
        <f t="shared" si="79"/>
        <v>0</v>
      </c>
      <c r="Y70" s="512" t="str">
        <f t="shared" si="80"/>
        <v/>
      </c>
      <c r="Z70" s="3"/>
      <c r="AA70" s="3"/>
      <c r="AB70" s="511">
        <f t="shared" si="81"/>
        <v>0</v>
      </c>
      <c r="AC70" s="512" t="str">
        <f t="shared" si="82"/>
        <v/>
      </c>
      <c r="AD70" s="3"/>
      <c r="AE70" s="3"/>
      <c r="AF70" s="511">
        <f t="shared" si="83"/>
        <v>0</v>
      </c>
      <c r="AG70" s="512" t="str">
        <f t="shared" si="84"/>
        <v/>
      </c>
      <c r="AH70" s="3"/>
      <c r="AI70" s="3"/>
      <c r="AJ70" s="511">
        <f t="shared" si="85"/>
        <v>0</v>
      </c>
      <c r="AK70" s="512" t="str">
        <f t="shared" si="86"/>
        <v/>
      </c>
      <c r="AL70" s="3"/>
      <c r="AM70" s="3"/>
      <c r="AN70" s="511">
        <f t="shared" si="87"/>
        <v>0</v>
      </c>
      <c r="AO70" s="512" t="str">
        <f t="shared" si="88"/>
        <v/>
      </c>
      <c r="AP70" s="3"/>
      <c r="AQ70" s="3"/>
      <c r="AR70" s="511">
        <f t="shared" si="89"/>
        <v>0</v>
      </c>
      <c r="AS70" s="512" t="str">
        <f t="shared" si="90"/>
        <v/>
      </c>
      <c r="AT70" s="3"/>
      <c r="AU70" s="3"/>
      <c r="AV70" s="511">
        <f t="shared" si="91"/>
        <v>0</v>
      </c>
      <c r="AW70" s="512" t="str">
        <f t="shared" si="92"/>
        <v/>
      </c>
      <c r="AX70" s="511">
        <f t="shared" si="138"/>
        <v>0</v>
      </c>
      <c r="AY70" s="511">
        <f t="shared" si="138"/>
        <v>0</v>
      </c>
      <c r="AZ70" s="511">
        <f t="shared" si="94"/>
        <v>0</v>
      </c>
      <c r="BA70" s="512" t="str">
        <f t="shared" si="95"/>
        <v/>
      </c>
      <c r="BB70" s="3"/>
      <c r="BC70" s="3"/>
      <c r="BD70" s="511">
        <f t="shared" si="96"/>
        <v>0</v>
      </c>
      <c r="BE70" s="512" t="str">
        <f t="shared" si="97"/>
        <v/>
      </c>
      <c r="BF70" s="3"/>
      <c r="BG70" s="3"/>
      <c r="BH70" s="511">
        <f t="shared" si="98"/>
        <v>0</v>
      </c>
      <c r="BI70" s="512" t="str">
        <f t="shared" si="99"/>
        <v/>
      </c>
      <c r="BJ70" s="3"/>
      <c r="BK70" s="3"/>
      <c r="BL70" s="511">
        <f t="shared" si="100"/>
        <v>0</v>
      </c>
      <c r="BM70" s="512" t="str">
        <f t="shared" si="101"/>
        <v/>
      </c>
      <c r="BN70" s="3"/>
      <c r="BO70" s="3"/>
      <c r="BP70" s="511">
        <f t="shared" si="102"/>
        <v>0</v>
      </c>
      <c r="BQ70" s="512" t="str">
        <f t="shared" si="103"/>
        <v/>
      </c>
      <c r="BR70" s="511">
        <f t="shared" si="139"/>
        <v>0</v>
      </c>
      <c r="BS70" s="511">
        <f t="shared" si="139"/>
        <v>0</v>
      </c>
      <c r="BT70" s="511">
        <f t="shared" si="105"/>
        <v>0</v>
      </c>
      <c r="BU70" s="512" t="str">
        <f t="shared" si="106"/>
        <v/>
      </c>
      <c r="BV70" s="3"/>
      <c r="BW70" s="3"/>
      <c r="BX70" s="511">
        <f t="shared" si="107"/>
        <v>0</v>
      </c>
      <c r="BY70" s="512" t="str">
        <f t="shared" si="108"/>
        <v/>
      </c>
      <c r="BZ70" s="3"/>
      <c r="CA70" s="3"/>
      <c r="CB70" s="511">
        <f t="shared" si="109"/>
        <v>0</v>
      </c>
      <c r="CC70" s="512" t="str">
        <f t="shared" si="110"/>
        <v/>
      </c>
      <c r="CD70" s="3"/>
      <c r="CE70" s="3"/>
      <c r="CF70" s="511">
        <f t="shared" si="111"/>
        <v>0</v>
      </c>
      <c r="CG70" s="512" t="str">
        <f t="shared" si="112"/>
        <v/>
      </c>
      <c r="CH70" s="3"/>
      <c r="CI70" s="3"/>
      <c r="CJ70" s="511">
        <f t="shared" si="113"/>
        <v>0</v>
      </c>
      <c r="CK70" s="512" t="str">
        <f t="shared" si="114"/>
        <v/>
      </c>
      <c r="CL70" s="511">
        <f t="shared" si="140"/>
        <v>0</v>
      </c>
      <c r="CM70" s="511">
        <f t="shared" si="140"/>
        <v>0</v>
      </c>
      <c r="CN70" s="511">
        <f t="shared" si="116"/>
        <v>0</v>
      </c>
      <c r="CO70" s="512" t="str">
        <f t="shared" si="117"/>
        <v/>
      </c>
      <c r="CP70" s="3"/>
      <c r="CQ70" s="3"/>
      <c r="CR70" s="511">
        <f t="shared" si="118"/>
        <v>0</v>
      </c>
      <c r="CS70" s="512" t="str">
        <f t="shared" si="119"/>
        <v/>
      </c>
      <c r="CT70" s="3"/>
      <c r="CU70" s="3"/>
      <c r="CV70" s="511">
        <f t="shared" si="120"/>
        <v>0</v>
      </c>
      <c r="CW70" s="512" t="str">
        <f t="shared" si="121"/>
        <v/>
      </c>
      <c r="CX70" s="511">
        <f t="shared" si="141"/>
        <v>0</v>
      </c>
      <c r="CY70" s="511">
        <f t="shared" si="141"/>
        <v>0</v>
      </c>
      <c r="CZ70" s="511">
        <f t="shared" si="123"/>
        <v>0</v>
      </c>
      <c r="DA70" s="512" t="str">
        <f t="shared" si="124"/>
        <v/>
      </c>
      <c r="DB70" s="3"/>
      <c r="DC70" s="3"/>
      <c r="DD70" s="511">
        <f t="shared" si="125"/>
        <v>0</v>
      </c>
      <c r="DE70" s="512" t="str">
        <f t="shared" si="126"/>
        <v/>
      </c>
      <c r="DF70" s="3"/>
      <c r="DG70" s="3"/>
      <c r="DH70" s="511">
        <f t="shared" si="127"/>
        <v>0</v>
      </c>
      <c r="DI70" s="512" t="str">
        <f t="shared" si="128"/>
        <v/>
      </c>
      <c r="DJ70" s="511">
        <f t="shared" si="142"/>
        <v>0</v>
      </c>
      <c r="DK70" s="511">
        <f t="shared" si="142"/>
        <v>0</v>
      </c>
      <c r="DL70" s="511">
        <f t="shared" si="130"/>
        <v>0</v>
      </c>
      <c r="DM70" s="512" t="str">
        <f t="shared" si="131"/>
        <v/>
      </c>
      <c r="DN70" s="3"/>
      <c r="DO70" s="3"/>
      <c r="DP70" s="511">
        <f t="shared" si="132"/>
        <v>0</v>
      </c>
      <c r="DQ70" s="512" t="str">
        <f t="shared" si="133"/>
        <v/>
      </c>
      <c r="DR70" s="511">
        <f t="shared" si="143"/>
        <v>35250</v>
      </c>
      <c r="DS70" s="511">
        <f t="shared" si="144"/>
        <v>30000</v>
      </c>
      <c r="DT70" s="511">
        <f t="shared" si="136"/>
        <v>5250</v>
      </c>
      <c r="DU70" s="512">
        <f t="shared" si="137"/>
        <v>1.175</v>
      </c>
    </row>
    <row r="71" spans="1:125" x14ac:dyDescent="0.25">
      <c r="A71" s="2" t="s">
        <v>81</v>
      </c>
      <c r="B71" s="3"/>
      <c r="C71" s="511">
        <f>30000</f>
        <v>30000</v>
      </c>
      <c r="D71" s="511">
        <f t="shared" si="69"/>
        <v>-30000</v>
      </c>
      <c r="E71" s="512">
        <f t="shared" si="70"/>
        <v>0</v>
      </c>
      <c r="F71" s="3"/>
      <c r="G71" s="3"/>
      <c r="H71" s="511">
        <f t="shared" si="71"/>
        <v>0</v>
      </c>
      <c r="I71" s="512" t="str">
        <f t="shared" si="72"/>
        <v/>
      </c>
      <c r="J71" s="511">
        <f>9200</f>
        <v>9200</v>
      </c>
      <c r="K71" s="3"/>
      <c r="L71" s="511">
        <f t="shared" si="73"/>
        <v>9200</v>
      </c>
      <c r="M71" s="512" t="str">
        <f t="shared" si="74"/>
        <v/>
      </c>
      <c r="N71" s="511">
        <f>30204.37</f>
        <v>30204.37</v>
      </c>
      <c r="O71" s="3"/>
      <c r="P71" s="511">
        <f t="shared" si="75"/>
        <v>30204.37</v>
      </c>
      <c r="Q71" s="512" t="str">
        <f t="shared" si="76"/>
        <v/>
      </c>
      <c r="R71" s="3"/>
      <c r="S71" s="3"/>
      <c r="T71" s="511">
        <f t="shared" si="77"/>
        <v>0</v>
      </c>
      <c r="U71" s="512" t="str">
        <f t="shared" si="78"/>
        <v/>
      </c>
      <c r="V71" s="3"/>
      <c r="W71" s="3"/>
      <c r="X71" s="511">
        <f t="shared" si="79"/>
        <v>0</v>
      </c>
      <c r="Y71" s="512" t="str">
        <f t="shared" si="80"/>
        <v/>
      </c>
      <c r="Z71" s="3"/>
      <c r="AA71" s="3"/>
      <c r="AB71" s="511">
        <f t="shared" si="81"/>
        <v>0</v>
      </c>
      <c r="AC71" s="512" t="str">
        <f t="shared" si="82"/>
        <v/>
      </c>
      <c r="AD71" s="3"/>
      <c r="AE71" s="3"/>
      <c r="AF71" s="511">
        <f t="shared" si="83"/>
        <v>0</v>
      </c>
      <c r="AG71" s="512" t="str">
        <f t="shared" si="84"/>
        <v/>
      </c>
      <c r="AH71" s="3"/>
      <c r="AI71" s="3"/>
      <c r="AJ71" s="511">
        <f t="shared" si="85"/>
        <v>0</v>
      </c>
      <c r="AK71" s="512" t="str">
        <f t="shared" si="86"/>
        <v/>
      </c>
      <c r="AL71" s="3"/>
      <c r="AM71" s="3"/>
      <c r="AN71" s="511">
        <f t="shared" si="87"/>
        <v>0</v>
      </c>
      <c r="AO71" s="512" t="str">
        <f t="shared" si="88"/>
        <v/>
      </c>
      <c r="AP71" s="3"/>
      <c r="AQ71" s="3"/>
      <c r="AR71" s="511">
        <f t="shared" si="89"/>
        <v>0</v>
      </c>
      <c r="AS71" s="512" t="str">
        <f t="shared" si="90"/>
        <v/>
      </c>
      <c r="AT71" s="3"/>
      <c r="AU71" s="3"/>
      <c r="AV71" s="511">
        <f t="shared" si="91"/>
        <v>0</v>
      </c>
      <c r="AW71" s="512" t="str">
        <f t="shared" si="92"/>
        <v/>
      </c>
      <c r="AX71" s="511">
        <f t="shared" si="138"/>
        <v>0</v>
      </c>
      <c r="AY71" s="511">
        <f t="shared" si="138"/>
        <v>0</v>
      </c>
      <c r="AZ71" s="511">
        <f t="shared" si="94"/>
        <v>0</v>
      </c>
      <c r="BA71" s="512" t="str">
        <f t="shared" si="95"/>
        <v/>
      </c>
      <c r="BB71" s="3"/>
      <c r="BC71" s="3"/>
      <c r="BD71" s="511">
        <f t="shared" si="96"/>
        <v>0</v>
      </c>
      <c r="BE71" s="512" t="str">
        <f t="shared" si="97"/>
        <v/>
      </c>
      <c r="BF71" s="3"/>
      <c r="BG71" s="3"/>
      <c r="BH71" s="511">
        <f t="shared" si="98"/>
        <v>0</v>
      </c>
      <c r="BI71" s="512" t="str">
        <f t="shared" si="99"/>
        <v/>
      </c>
      <c r="BJ71" s="3"/>
      <c r="BK71" s="3"/>
      <c r="BL71" s="511">
        <f t="shared" si="100"/>
        <v>0</v>
      </c>
      <c r="BM71" s="512" t="str">
        <f t="shared" si="101"/>
        <v/>
      </c>
      <c r="BN71" s="3"/>
      <c r="BO71" s="3"/>
      <c r="BP71" s="511">
        <f t="shared" si="102"/>
        <v>0</v>
      </c>
      <c r="BQ71" s="512" t="str">
        <f t="shared" si="103"/>
        <v/>
      </c>
      <c r="BR71" s="511">
        <f t="shared" si="139"/>
        <v>0</v>
      </c>
      <c r="BS71" s="511">
        <f t="shared" si="139"/>
        <v>0</v>
      </c>
      <c r="BT71" s="511">
        <f t="shared" si="105"/>
        <v>0</v>
      </c>
      <c r="BU71" s="512" t="str">
        <f t="shared" si="106"/>
        <v/>
      </c>
      <c r="BV71" s="3"/>
      <c r="BW71" s="3"/>
      <c r="BX71" s="511">
        <f t="shared" si="107"/>
        <v>0</v>
      </c>
      <c r="BY71" s="512" t="str">
        <f t="shared" si="108"/>
        <v/>
      </c>
      <c r="BZ71" s="3"/>
      <c r="CA71" s="3"/>
      <c r="CB71" s="511">
        <f t="shared" si="109"/>
        <v>0</v>
      </c>
      <c r="CC71" s="512" t="str">
        <f t="shared" si="110"/>
        <v/>
      </c>
      <c r="CD71" s="3"/>
      <c r="CE71" s="3"/>
      <c r="CF71" s="511">
        <f t="shared" si="111"/>
        <v>0</v>
      </c>
      <c r="CG71" s="512" t="str">
        <f t="shared" si="112"/>
        <v/>
      </c>
      <c r="CH71" s="3"/>
      <c r="CI71" s="3"/>
      <c r="CJ71" s="511">
        <f t="shared" si="113"/>
        <v>0</v>
      </c>
      <c r="CK71" s="512" t="str">
        <f t="shared" si="114"/>
        <v/>
      </c>
      <c r="CL71" s="511">
        <f t="shared" si="140"/>
        <v>0</v>
      </c>
      <c r="CM71" s="511">
        <f t="shared" si="140"/>
        <v>0</v>
      </c>
      <c r="CN71" s="511">
        <f t="shared" si="116"/>
        <v>0</v>
      </c>
      <c r="CO71" s="512" t="str">
        <f t="shared" si="117"/>
        <v/>
      </c>
      <c r="CP71" s="3"/>
      <c r="CQ71" s="3"/>
      <c r="CR71" s="511">
        <f t="shared" si="118"/>
        <v>0</v>
      </c>
      <c r="CS71" s="512" t="str">
        <f t="shared" si="119"/>
        <v/>
      </c>
      <c r="CT71" s="3"/>
      <c r="CU71" s="3"/>
      <c r="CV71" s="511">
        <f t="shared" si="120"/>
        <v>0</v>
      </c>
      <c r="CW71" s="512" t="str">
        <f t="shared" si="121"/>
        <v/>
      </c>
      <c r="CX71" s="511">
        <f t="shared" si="141"/>
        <v>0</v>
      </c>
      <c r="CY71" s="511">
        <f t="shared" si="141"/>
        <v>0</v>
      </c>
      <c r="CZ71" s="511">
        <f t="shared" si="123"/>
        <v>0</v>
      </c>
      <c r="DA71" s="512" t="str">
        <f t="shared" si="124"/>
        <v/>
      </c>
      <c r="DB71" s="3"/>
      <c r="DC71" s="3"/>
      <c r="DD71" s="511">
        <f t="shared" si="125"/>
        <v>0</v>
      </c>
      <c r="DE71" s="512" t="str">
        <f t="shared" si="126"/>
        <v/>
      </c>
      <c r="DF71" s="3"/>
      <c r="DG71" s="3"/>
      <c r="DH71" s="511">
        <f t="shared" si="127"/>
        <v>0</v>
      </c>
      <c r="DI71" s="512" t="str">
        <f t="shared" si="128"/>
        <v/>
      </c>
      <c r="DJ71" s="511">
        <f t="shared" si="142"/>
        <v>0</v>
      </c>
      <c r="DK71" s="511">
        <f t="shared" si="142"/>
        <v>0</v>
      </c>
      <c r="DL71" s="511">
        <f t="shared" si="130"/>
        <v>0</v>
      </c>
      <c r="DM71" s="512" t="str">
        <f t="shared" si="131"/>
        <v/>
      </c>
      <c r="DN71" s="3"/>
      <c r="DO71" s="3"/>
      <c r="DP71" s="511">
        <f t="shared" si="132"/>
        <v>0</v>
      </c>
      <c r="DQ71" s="512" t="str">
        <f t="shared" si="133"/>
        <v/>
      </c>
      <c r="DR71" s="511">
        <f t="shared" si="143"/>
        <v>39404.369999999995</v>
      </c>
      <c r="DS71" s="511">
        <f t="shared" si="144"/>
        <v>30000</v>
      </c>
      <c r="DT71" s="511">
        <f t="shared" si="136"/>
        <v>9404.3699999999953</v>
      </c>
      <c r="DU71" s="512">
        <f t="shared" si="137"/>
        <v>1.3134789999999998</v>
      </c>
    </row>
    <row r="72" spans="1:125" x14ac:dyDescent="0.25">
      <c r="A72" s="2" t="s">
        <v>82</v>
      </c>
      <c r="B72" s="3"/>
      <c r="C72" s="511">
        <f>30000</f>
        <v>30000</v>
      </c>
      <c r="D72" s="511">
        <f t="shared" si="69"/>
        <v>-30000</v>
      </c>
      <c r="E72" s="512">
        <f t="shared" si="70"/>
        <v>0</v>
      </c>
      <c r="F72" s="3"/>
      <c r="G72" s="3"/>
      <c r="H72" s="511">
        <f t="shared" si="71"/>
        <v>0</v>
      </c>
      <c r="I72" s="512" t="str">
        <f t="shared" si="72"/>
        <v/>
      </c>
      <c r="J72" s="3"/>
      <c r="K72" s="3"/>
      <c r="L72" s="511">
        <f t="shared" si="73"/>
        <v>0</v>
      </c>
      <c r="M72" s="512" t="str">
        <f t="shared" si="74"/>
        <v/>
      </c>
      <c r="N72" s="511">
        <f>46960</f>
        <v>46960</v>
      </c>
      <c r="O72" s="3"/>
      <c r="P72" s="511">
        <f t="shared" si="75"/>
        <v>46960</v>
      </c>
      <c r="Q72" s="512" t="str">
        <f t="shared" si="76"/>
        <v/>
      </c>
      <c r="R72" s="3"/>
      <c r="S72" s="3"/>
      <c r="T72" s="511">
        <f t="shared" si="77"/>
        <v>0</v>
      </c>
      <c r="U72" s="512" t="str">
        <f t="shared" si="78"/>
        <v/>
      </c>
      <c r="V72" s="3"/>
      <c r="W72" s="3"/>
      <c r="X72" s="511">
        <f t="shared" si="79"/>
        <v>0</v>
      </c>
      <c r="Y72" s="512" t="str">
        <f t="shared" si="80"/>
        <v/>
      </c>
      <c r="Z72" s="3"/>
      <c r="AA72" s="3"/>
      <c r="AB72" s="511">
        <f t="shared" si="81"/>
        <v>0</v>
      </c>
      <c r="AC72" s="512" t="str">
        <f t="shared" si="82"/>
        <v/>
      </c>
      <c r="AD72" s="3"/>
      <c r="AE72" s="3"/>
      <c r="AF72" s="511">
        <f t="shared" si="83"/>
        <v>0</v>
      </c>
      <c r="AG72" s="512" t="str">
        <f t="shared" si="84"/>
        <v/>
      </c>
      <c r="AH72" s="3"/>
      <c r="AI72" s="3"/>
      <c r="AJ72" s="511">
        <f t="shared" si="85"/>
        <v>0</v>
      </c>
      <c r="AK72" s="512" t="str">
        <f t="shared" si="86"/>
        <v/>
      </c>
      <c r="AL72" s="511">
        <f>500</f>
        <v>500</v>
      </c>
      <c r="AM72" s="3"/>
      <c r="AN72" s="511">
        <f t="shared" si="87"/>
        <v>500</v>
      </c>
      <c r="AO72" s="512" t="str">
        <f t="shared" si="88"/>
        <v/>
      </c>
      <c r="AP72" s="3"/>
      <c r="AQ72" s="3"/>
      <c r="AR72" s="511">
        <f t="shared" si="89"/>
        <v>0</v>
      </c>
      <c r="AS72" s="512" t="str">
        <f t="shared" si="90"/>
        <v/>
      </c>
      <c r="AT72" s="3"/>
      <c r="AU72" s="3"/>
      <c r="AV72" s="511">
        <f t="shared" si="91"/>
        <v>0</v>
      </c>
      <c r="AW72" s="512" t="str">
        <f t="shared" si="92"/>
        <v/>
      </c>
      <c r="AX72" s="511">
        <f t="shared" si="138"/>
        <v>500</v>
      </c>
      <c r="AY72" s="511">
        <f t="shared" si="138"/>
        <v>0</v>
      </c>
      <c r="AZ72" s="511">
        <f t="shared" si="94"/>
        <v>500</v>
      </c>
      <c r="BA72" s="512" t="str">
        <f t="shared" si="95"/>
        <v/>
      </c>
      <c r="BB72" s="3"/>
      <c r="BC72" s="3"/>
      <c r="BD72" s="511">
        <f t="shared" si="96"/>
        <v>0</v>
      </c>
      <c r="BE72" s="512" t="str">
        <f t="shared" si="97"/>
        <v/>
      </c>
      <c r="BF72" s="3"/>
      <c r="BG72" s="3"/>
      <c r="BH72" s="511">
        <f t="shared" si="98"/>
        <v>0</v>
      </c>
      <c r="BI72" s="512" t="str">
        <f t="shared" si="99"/>
        <v/>
      </c>
      <c r="BJ72" s="3"/>
      <c r="BK72" s="3"/>
      <c r="BL72" s="511">
        <f t="shared" si="100"/>
        <v>0</v>
      </c>
      <c r="BM72" s="512" t="str">
        <f t="shared" si="101"/>
        <v/>
      </c>
      <c r="BN72" s="3"/>
      <c r="BO72" s="3"/>
      <c r="BP72" s="511">
        <f t="shared" si="102"/>
        <v>0</v>
      </c>
      <c r="BQ72" s="512" t="str">
        <f t="shared" si="103"/>
        <v/>
      </c>
      <c r="BR72" s="511">
        <f t="shared" si="139"/>
        <v>0</v>
      </c>
      <c r="BS72" s="511">
        <f t="shared" si="139"/>
        <v>0</v>
      </c>
      <c r="BT72" s="511">
        <f t="shared" si="105"/>
        <v>0</v>
      </c>
      <c r="BU72" s="512" t="str">
        <f t="shared" si="106"/>
        <v/>
      </c>
      <c r="BV72" s="3"/>
      <c r="BW72" s="3"/>
      <c r="BX72" s="511">
        <f t="shared" si="107"/>
        <v>0</v>
      </c>
      <c r="BY72" s="512" t="str">
        <f t="shared" si="108"/>
        <v/>
      </c>
      <c r="BZ72" s="3"/>
      <c r="CA72" s="3"/>
      <c r="CB72" s="511">
        <f t="shared" si="109"/>
        <v>0</v>
      </c>
      <c r="CC72" s="512" t="str">
        <f t="shared" si="110"/>
        <v/>
      </c>
      <c r="CD72" s="3"/>
      <c r="CE72" s="3"/>
      <c r="CF72" s="511">
        <f t="shared" si="111"/>
        <v>0</v>
      </c>
      <c r="CG72" s="512" t="str">
        <f t="shared" si="112"/>
        <v/>
      </c>
      <c r="CH72" s="3"/>
      <c r="CI72" s="3"/>
      <c r="CJ72" s="511">
        <f t="shared" si="113"/>
        <v>0</v>
      </c>
      <c r="CK72" s="512" t="str">
        <f t="shared" si="114"/>
        <v/>
      </c>
      <c r="CL72" s="511">
        <f t="shared" si="140"/>
        <v>0</v>
      </c>
      <c r="CM72" s="511">
        <f t="shared" si="140"/>
        <v>0</v>
      </c>
      <c r="CN72" s="511">
        <f t="shared" si="116"/>
        <v>0</v>
      </c>
      <c r="CO72" s="512" t="str">
        <f t="shared" si="117"/>
        <v/>
      </c>
      <c r="CP72" s="3"/>
      <c r="CQ72" s="3"/>
      <c r="CR72" s="511">
        <f t="shared" si="118"/>
        <v>0</v>
      </c>
      <c r="CS72" s="512" t="str">
        <f t="shared" si="119"/>
        <v/>
      </c>
      <c r="CT72" s="3"/>
      <c r="CU72" s="3"/>
      <c r="CV72" s="511">
        <f t="shared" si="120"/>
        <v>0</v>
      </c>
      <c r="CW72" s="512" t="str">
        <f t="shared" si="121"/>
        <v/>
      </c>
      <c r="CX72" s="511">
        <f t="shared" si="141"/>
        <v>0</v>
      </c>
      <c r="CY72" s="511">
        <f t="shared" si="141"/>
        <v>0</v>
      </c>
      <c r="CZ72" s="511">
        <f t="shared" si="123"/>
        <v>0</v>
      </c>
      <c r="DA72" s="512" t="str">
        <f t="shared" si="124"/>
        <v/>
      </c>
      <c r="DB72" s="3"/>
      <c r="DC72" s="3"/>
      <c r="DD72" s="511">
        <f t="shared" si="125"/>
        <v>0</v>
      </c>
      <c r="DE72" s="512" t="str">
        <f t="shared" si="126"/>
        <v/>
      </c>
      <c r="DF72" s="3"/>
      <c r="DG72" s="3"/>
      <c r="DH72" s="511">
        <f t="shared" si="127"/>
        <v>0</v>
      </c>
      <c r="DI72" s="512" t="str">
        <f t="shared" si="128"/>
        <v/>
      </c>
      <c r="DJ72" s="511">
        <f t="shared" si="142"/>
        <v>0</v>
      </c>
      <c r="DK72" s="511">
        <f t="shared" si="142"/>
        <v>0</v>
      </c>
      <c r="DL72" s="511">
        <f t="shared" si="130"/>
        <v>0</v>
      </c>
      <c r="DM72" s="512" t="str">
        <f t="shared" si="131"/>
        <v/>
      </c>
      <c r="DN72" s="3"/>
      <c r="DO72" s="3"/>
      <c r="DP72" s="511">
        <f t="shared" si="132"/>
        <v>0</v>
      </c>
      <c r="DQ72" s="512" t="str">
        <f t="shared" si="133"/>
        <v/>
      </c>
      <c r="DR72" s="511">
        <f t="shared" si="143"/>
        <v>47460</v>
      </c>
      <c r="DS72" s="511">
        <f t="shared" si="144"/>
        <v>30000</v>
      </c>
      <c r="DT72" s="511">
        <f t="shared" si="136"/>
        <v>17460</v>
      </c>
      <c r="DU72" s="512">
        <f t="shared" si="137"/>
        <v>1.5820000000000001</v>
      </c>
    </row>
    <row r="73" spans="1:125" x14ac:dyDescent="0.25">
      <c r="A73" s="2" t="s">
        <v>732</v>
      </c>
      <c r="B73" s="3"/>
      <c r="C73" s="3"/>
      <c r="D73" s="511">
        <f t="shared" si="69"/>
        <v>0</v>
      </c>
      <c r="E73" s="512" t="str">
        <f t="shared" si="70"/>
        <v/>
      </c>
      <c r="F73" s="3"/>
      <c r="G73" s="3"/>
      <c r="H73" s="511">
        <f t="shared" si="71"/>
        <v>0</v>
      </c>
      <c r="I73" s="512" t="str">
        <f t="shared" si="72"/>
        <v/>
      </c>
      <c r="J73" s="3"/>
      <c r="K73" s="3"/>
      <c r="L73" s="511">
        <f t="shared" si="73"/>
        <v>0</v>
      </c>
      <c r="M73" s="512" t="str">
        <f t="shared" si="74"/>
        <v/>
      </c>
      <c r="N73" s="511">
        <f>200</f>
        <v>200</v>
      </c>
      <c r="O73" s="3"/>
      <c r="P73" s="511">
        <f t="shared" si="75"/>
        <v>200</v>
      </c>
      <c r="Q73" s="512" t="str">
        <f t="shared" si="76"/>
        <v/>
      </c>
      <c r="R73" s="3"/>
      <c r="S73" s="3"/>
      <c r="T73" s="511">
        <f t="shared" si="77"/>
        <v>0</v>
      </c>
      <c r="U73" s="512" t="str">
        <f t="shared" si="78"/>
        <v/>
      </c>
      <c r="V73" s="3"/>
      <c r="W73" s="3"/>
      <c r="X73" s="511">
        <f t="shared" si="79"/>
        <v>0</v>
      </c>
      <c r="Y73" s="512" t="str">
        <f t="shared" si="80"/>
        <v/>
      </c>
      <c r="Z73" s="3"/>
      <c r="AA73" s="3"/>
      <c r="AB73" s="511">
        <f t="shared" si="81"/>
        <v>0</v>
      </c>
      <c r="AC73" s="512" t="str">
        <f t="shared" si="82"/>
        <v/>
      </c>
      <c r="AD73" s="3"/>
      <c r="AE73" s="3"/>
      <c r="AF73" s="511">
        <f t="shared" si="83"/>
        <v>0</v>
      </c>
      <c r="AG73" s="512" t="str">
        <f t="shared" si="84"/>
        <v/>
      </c>
      <c r="AH73" s="3"/>
      <c r="AI73" s="3"/>
      <c r="AJ73" s="511">
        <f t="shared" si="85"/>
        <v>0</v>
      </c>
      <c r="AK73" s="512" t="str">
        <f t="shared" si="86"/>
        <v/>
      </c>
      <c r="AL73" s="3"/>
      <c r="AM73" s="3"/>
      <c r="AN73" s="511">
        <f t="shared" si="87"/>
        <v>0</v>
      </c>
      <c r="AO73" s="512" t="str">
        <f t="shared" si="88"/>
        <v/>
      </c>
      <c r="AP73" s="3"/>
      <c r="AQ73" s="3"/>
      <c r="AR73" s="511">
        <f t="shared" si="89"/>
        <v>0</v>
      </c>
      <c r="AS73" s="512" t="str">
        <f t="shared" si="90"/>
        <v/>
      </c>
      <c r="AT73" s="3"/>
      <c r="AU73" s="3"/>
      <c r="AV73" s="511">
        <f t="shared" si="91"/>
        <v>0</v>
      </c>
      <c r="AW73" s="512" t="str">
        <f t="shared" si="92"/>
        <v/>
      </c>
      <c r="AX73" s="511">
        <f t="shared" si="138"/>
        <v>0</v>
      </c>
      <c r="AY73" s="511">
        <f t="shared" si="138"/>
        <v>0</v>
      </c>
      <c r="AZ73" s="511">
        <f t="shared" si="94"/>
        <v>0</v>
      </c>
      <c r="BA73" s="512" t="str">
        <f t="shared" si="95"/>
        <v/>
      </c>
      <c r="BB73" s="3"/>
      <c r="BC73" s="3"/>
      <c r="BD73" s="511">
        <f t="shared" si="96"/>
        <v>0</v>
      </c>
      <c r="BE73" s="512" t="str">
        <f t="shared" si="97"/>
        <v/>
      </c>
      <c r="BF73" s="3"/>
      <c r="BG73" s="3"/>
      <c r="BH73" s="511">
        <f t="shared" si="98"/>
        <v>0</v>
      </c>
      <c r="BI73" s="512" t="str">
        <f t="shared" si="99"/>
        <v/>
      </c>
      <c r="BJ73" s="3"/>
      <c r="BK73" s="3"/>
      <c r="BL73" s="511">
        <f t="shared" si="100"/>
        <v>0</v>
      </c>
      <c r="BM73" s="512" t="str">
        <f t="shared" si="101"/>
        <v/>
      </c>
      <c r="BN73" s="3"/>
      <c r="BO73" s="3"/>
      <c r="BP73" s="511">
        <f t="shared" si="102"/>
        <v>0</v>
      </c>
      <c r="BQ73" s="512" t="str">
        <f t="shared" si="103"/>
        <v/>
      </c>
      <c r="BR73" s="511">
        <f t="shared" si="139"/>
        <v>0</v>
      </c>
      <c r="BS73" s="511">
        <f t="shared" si="139"/>
        <v>0</v>
      </c>
      <c r="BT73" s="511">
        <f t="shared" si="105"/>
        <v>0</v>
      </c>
      <c r="BU73" s="512" t="str">
        <f t="shared" si="106"/>
        <v/>
      </c>
      <c r="BV73" s="3"/>
      <c r="BW73" s="3"/>
      <c r="BX73" s="511">
        <f t="shared" si="107"/>
        <v>0</v>
      </c>
      <c r="BY73" s="512" t="str">
        <f t="shared" si="108"/>
        <v/>
      </c>
      <c r="BZ73" s="3"/>
      <c r="CA73" s="3"/>
      <c r="CB73" s="511">
        <f t="shared" si="109"/>
        <v>0</v>
      </c>
      <c r="CC73" s="512" t="str">
        <f t="shared" si="110"/>
        <v/>
      </c>
      <c r="CD73" s="3"/>
      <c r="CE73" s="3"/>
      <c r="CF73" s="511">
        <f t="shared" si="111"/>
        <v>0</v>
      </c>
      <c r="CG73" s="512" t="str">
        <f t="shared" si="112"/>
        <v/>
      </c>
      <c r="CH73" s="3"/>
      <c r="CI73" s="3"/>
      <c r="CJ73" s="511">
        <f t="shared" si="113"/>
        <v>0</v>
      </c>
      <c r="CK73" s="512" t="str">
        <f t="shared" si="114"/>
        <v/>
      </c>
      <c r="CL73" s="511">
        <f t="shared" si="140"/>
        <v>0</v>
      </c>
      <c r="CM73" s="511">
        <f t="shared" si="140"/>
        <v>0</v>
      </c>
      <c r="CN73" s="511">
        <f t="shared" si="116"/>
        <v>0</v>
      </c>
      <c r="CO73" s="512" t="str">
        <f t="shared" si="117"/>
        <v/>
      </c>
      <c r="CP73" s="3"/>
      <c r="CQ73" s="3"/>
      <c r="CR73" s="511">
        <f t="shared" si="118"/>
        <v>0</v>
      </c>
      <c r="CS73" s="512" t="str">
        <f t="shared" si="119"/>
        <v/>
      </c>
      <c r="CT73" s="3"/>
      <c r="CU73" s="3"/>
      <c r="CV73" s="511">
        <f t="shared" si="120"/>
        <v>0</v>
      </c>
      <c r="CW73" s="512" t="str">
        <f t="shared" si="121"/>
        <v/>
      </c>
      <c r="CX73" s="511">
        <f t="shared" si="141"/>
        <v>0</v>
      </c>
      <c r="CY73" s="511">
        <f t="shared" si="141"/>
        <v>0</v>
      </c>
      <c r="CZ73" s="511">
        <f t="shared" si="123"/>
        <v>0</v>
      </c>
      <c r="DA73" s="512" t="str">
        <f t="shared" si="124"/>
        <v/>
      </c>
      <c r="DB73" s="3"/>
      <c r="DC73" s="3"/>
      <c r="DD73" s="511">
        <f t="shared" si="125"/>
        <v>0</v>
      </c>
      <c r="DE73" s="512" t="str">
        <f t="shared" si="126"/>
        <v/>
      </c>
      <c r="DF73" s="3"/>
      <c r="DG73" s="3"/>
      <c r="DH73" s="511">
        <f t="shared" si="127"/>
        <v>0</v>
      </c>
      <c r="DI73" s="512" t="str">
        <f t="shared" si="128"/>
        <v/>
      </c>
      <c r="DJ73" s="511">
        <f t="shared" si="142"/>
        <v>0</v>
      </c>
      <c r="DK73" s="511">
        <f t="shared" si="142"/>
        <v>0</v>
      </c>
      <c r="DL73" s="511">
        <f t="shared" si="130"/>
        <v>0</v>
      </c>
      <c r="DM73" s="512" t="str">
        <f t="shared" si="131"/>
        <v/>
      </c>
      <c r="DN73" s="3"/>
      <c r="DO73" s="3"/>
      <c r="DP73" s="511">
        <f t="shared" si="132"/>
        <v>0</v>
      </c>
      <c r="DQ73" s="512" t="str">
        <f t="shared" si="133"/>
        <v/>
      </c>
      <c r="DR73" s="511">
        <f t="shared" si="143"/>
        <v>200</v>
      </c>
      <c r="DS73" s="511">
        <f t="shared" si="144"/>
        <v>0</v>
      </c>
      <c r="DT73" s="511">
        <f t="shared" si="136"/>
        <v>200</v>
      </c>
      <c r="DU73" s="512" t="str">
        <f t="shared" si="137"/>
        <v/>
      </c>
    </row>
    <row r="74" spans="1:125" x14ac:dyDescent="0.25">
      <c r="A74" s="2" t="s">
        <v>125</v>
      </c>
      <c r="B74" s="513">
        <f>(B72)+(B73)</f>
        <v>0</v>
      </c>
      <c r="C74" s="513">
        <f>(C72)+(C73)</f>
        <v>30000</v>
      </c>
      <c r="D74" s="513">
        <f t="shared" si="69"/>
        <v>-30000</v>
      </c>
      <c r="E74" s="514">
        <f t="shared" si="70"/>
        <v>0</v>
      </c>
      <c r="F74" s="513">
        <f>(F72)+(F73)</f>
        <v>0</v>
      </c>
      <c r="G74" s="513">
        <f>(G72)+(G73)</f>
        <v>0</v>
      </c>
      <c r="H74" s="513">
        <f t="shared" si="71"/>
        <v>0</v>
      </c>
      <c r="I74" s="514" t="str">
        <f t="shared" si="72"/>
        <v/>
      </c>
      <c r="J74" s="513">
        <f>(J72)+(J73)</f>
        <v>0</v>
      </c>
      <c r="K74" s="513">
        <f>(K72)+(K73)</f>
        <v>0</v>
      </c>
      <c r="L74" s="513">
        <f t="shared" si="73"/>
        <v>0</v>
      </c>
      <c r="M74" s="514" t="str">
        <f t="shared" si="74"/>
        <v/>
      </c>
      <c r="N74" s="513">
        <f>(N72)+(N73)</f>
        <v>47160</v>
      </c>
      <c r="O74" s="513">
        <f>(O72)+(O73)</f>
        <v>0</v>
      </c>
      <c r="P74" s="513">
        <f t="shared" si="75"/>
        <v>47160</v>
      </c>
      <c r="Q74" s="514" t="str">
        <f t="shared" si="76"/>
        <v/>
      </c>
      <c r="R74" s="513">
        <f>(R72)+(R73)</f>
        <v>0</v>
      </c>
      <c r="S74" s="513">
        <f>(S72)+(S73)</f>
        <v>0</v>
      </c>
      <c r="T74" s="513">
        <f t="shared" si="77"/>
        <v>0</v>
      </c>
      <c r="U74" s="514" t="str">
        <f t="shared" si="78"/>
        <v/>
      </c>
      <c r="V74" s="513">
        <f>(V72)+(V73)</f>
        <v>0</v>
      </c>
      <c r="W74" s="513">
        <f>(W72)+(W73)</f>
        <v>0</v>
      </c>
      <c r="X74" s="513">
        <f t="shared" si="79"/>
        <v>0</v>
      </c>
      <c r="Y74" s="514" t="str">
        <f t="shared" si="80"/>
        <v/>
      </c>
      <c r="Z74" s="513">
        <f>(Z72)+(Z73)</f>
        <v>0</v>
      </c>
      <c r="AA74" s="513">
        <f>(AA72)+(AA73)</f>
        <v>0</v>
      </c>
      <c r="AB74" s="513">
        <f t="shared" si="81"/>
        <v>0</v>
      </c>
      <c r="AC74" s="514" t="str">
        <f t="shared" si="82"/>
        <v/>
      </c>
      <c r="AD74" s="513">
        <f>(AD72)+(AD73)</f>
        <v>0</v>
      </c>
      <c r="AE74" s="513">
        <f>(AE72)+(AE73)</f>
        <v>0</v>
      </c>
      <c r="AF74" s="513">
        <f t="shared" si="83"/>
        <v>0</v>
      </c>
      <c r="AG74" s="514" t="str">
        <f t="shared" si="84"/>
        <v/>
      </c>
      <c r="AH74" s="513">
        <f>(AH72)+(AH73)</f>
        <v>0</v>
      </c>
      <c r="AI74" s="513">
        <f>(AI72)+(AI73)</f>
        <v>0</v>
      </c>
      <c r="AJ74" s="513">
        <f t="shared" si="85"/>
        <v>0</v>
      </c>
      <c r="AK74" s="514" t="str">
        <f t="shared" si="86"/>
        <v/>
      </c>
      <c r="AL74" s="513">
        <f>(AL72)+(AL73)</f>
        <v>500</v>
      </c>
      <c r="AM74" s="513">
        <f>(AM72)+(AM73)</f>
        <v>0</v>
      </c>
      <c r="AN74" s="513">
        <f t="shared" si="87"/>
        <v>500</v>
      </c>
      <c r="AO74" s="514" t="str">
        <f t="shared" si="88"/>
        <v/>
      </c>
      <c r="AP74" s="513">
        <f>(AP72)+(AP73)</f>
        <v>0</v>
      </c>
      <c r="AQ74" s="513">
        <f>(AQ72)+(AQ73)</f>
        <v>0</v>
      </c>
      <c r="AR74" s="513">
        <f t="shared" si="89"/>
        <v>0</v>
      </c>
      <c r="AS74" s="514" t="str">
        <f t="shared" si="90"/>
        <v/>
      </c>
      <c r="AT74" s="513">
        <f>(AT72)+(AT73)</f>
        <v>0</v>
      </c>
      <c r="AU74" s="513">
        <f>(AU72)+(AU73)</f>
        <v>0</v>
      </c>
      <c r="AV74" s="513">
        <f t="shared" si="91"/>
        <v>0</v>
      </c>
      <c r="AW74" s="514" t="str">
        <f t="shared" si="92"/>
        <v/>
      </c>
      <c r="AX74" s="513">
        <f t="shared" si="138"/>
        <v>500</v>
      </c>
      <c r="AY74" s="513">
        <f t="shared" si="138"/>
        <v>0</v>
      </c>
      <c r="AZ74" s="513">
        <f t="shared" si="94"/>
        <v>500</v>
      </c>
      <c r="BA74" s="514" t="str">
        <f t="shared" si="95"/>
        <v/>
      </c>
      <c r="BB74" s="513">
        <f>(BB72)+(BB73)</f>
        <v>0</v>
      </c>
      <c r="BC74" s="513">
        <f>(BC72)+(BC73)</f>
        <v>0</v>
      </c>
      <c r="BD74" s="513">
        <f t="shared" si="96"/>
        <v>0</v>
      </c>
      <c r="BE74" s="514" t="str">
        <f t="shared" si="97"/>
        <v/>
      </c>
      <c r="BF74" s="513">
        <f>(BF72)+(BF73)</f>
        <v>0</v>
      </c>
      <c r="BG74" s="513">
        <f>(BG72)+(BG73)</f>
        <v>0</v>
      </c>
      <c r="BH74" s="513">
        <f t="shared" si="98"/>
        <v>0</v>
      </c>
      <c r="BI74" s="514" t="str">
        <f t="shared" si="99"/>
        <v/>
      </c>
      <c r="BJ74" s="513">
        <f>(BJ72)+(BJ73)</f>
        <v>0</v>
      </c>
      <c r="BK74" s="513">
        <f>(BK72)+(BK73)</f>
        <v>0</v>
      </c>
      <c r="BL74" s="513">
        <f t="shared" si="100"/>
        <v>0</v>
      </c>
      <c r="BM74" s="514" t="str">
        <f t="shared" si="101"/>
        <v/>
      </c>
      <c r="BN74" s="513">
        <f>(BN72)+(BN73)</f>
        <v>0</v>
      </c>
      <c r="BO74" s="513">
        <f>(BO72)+(BO73)</f>
        <v>0</v>
      </c>
      <c r="BP74" s="513">
        <f t="shared" si="102"/>
        <v>0</v>
      </c>
      <c r="BQ74" s="514" t="str">
        <f t="shared" si="103"/>
        <v/>
      </c>
      <c r="BR74" s="513">
        <f t="shared" si="139"/>
        <v>0</v>
      </c>
      <c r="BS74" s="513">
        <f t="shared" si="139"/>
        <v>0</v>
      </c>
      <c r="BT74" s="513">
        <f t="shared" si="105"/>
        <v>0</v>
      </c>
      <c r="BU74" s="514" t="str">
        <f t="shared" si="106"/>
        <v/>
      </c>
      <c r="BV74" s="513">
        <f>(BV72)+(BV73)</f>
        <v>0</v>
      </c>
      <c r="BW74" s="513">
        <f>(BW72)+(BW73)</f>
        <v>0</v>
      </c>
      <c r="BX74" s="513">
        <f t="shared" si="107"/>
        <v>0</v>
      </c>
      <c r="BY74" s="514" t="str">
        <f t="shared" si="108"/>
        <v/>
      </c>
      <c r="BZ74" s="513">
        <f>(BZ72)+(BZ73)</f>
        <v>0</v>
      </c>
      <c r="CA74" s="513">
        <f>(CA72)+(CA73)</f>
        <v>0</v>
      </c>
      <c r="CB74" s="513">
        <f t="shared" si="109"/>
        <v>0</v>
      </c>
      <c r="CC74" s="514" t="str">
        <f t="shared" si="110"/>
        <v/>
      </c>
      <c r="CD74" s="513">
        <f>(CD72)+(CD73)</f>
        <v>0</v>
      </c>
      <c r="CE74" s="513">
        <f>(CE72)+(CE73)</f>
        <v>0</v>
      </c>
      <c r="CF74" s="513">
        <f t="shared" si="111"/>
        <v>0</v>
      </c>
      <c r="CG74" s="514" t="str">
        <f t="shared" si="112"/>
        <v/>
      </c>
      <c r="CH74" s="513">
        <f>(CH72)+(CH73)</f>
        <v>0</v>
      </c>
      <c r="CI74" s="513">
        <f>(CI72)+(CI73)</f>
        <v>0</v>
      </c>
      <c r="CJ74" s="513">
        <f t="shared" si="113"/>
        <v>0</v>
      </c>
      <c r="CK74" s="514" t="str">
        <f t="shared" si="114"/>
        <v/>
      </c>
      <c r="CL74" s="513">
        <f t="shared" si="140"/>
        <v>0</v>
      </c>
      <c r="CM74" s="513">
        <f t="shared" si="140"/>
        <v>0</v>
      </c>
      <c r="CN74" s="513">
        <f t="shared" si="116"/>
        <v>0</v>
      </c>
      <c r="CO74" s="514" t="str">
        <f t="shared" si="117"/>
        <v/>
      </c>
      <c r="CP74" s="513">
        <f>(CP72)+(CP73)</f>
        <v>0</v>
      </c>
      <c r="CQ74" s="513">
        <f>(CQ72)+(CQ73)</f>
        <v>0</v>
      </c>
      <c r="CR74" s="513">
        <f t="shared" si="118"/>
        <v>0</v>
      </c>
      <c r="CS74" s="514" t="str">
        <f t="shared" si="119"/>
        <v/>
      </c>
      <c r="CT74" s="513">
        <f>(CT72)+(CT73)</f>
        <v>0</v>
      </c>
      <c r="CU74" s="513">
        <f>(CU72)+(CU73)</f>
        <v>0</v>
      </c>
      <c r="CV74" s="513">
        <f t="shared" si="120"/>
        <v>0</v>
      </c>
      <c r="CW74" s="514" t="str">
        <f t="shared" si="121"/>
        <v/>
      </c>
      <c r="CX74" s="513">
        <f t="shared" si="141"/>
        <v>0</v>
      </c>
      <c r="CY74" s="513">
        <f t="shared" si="141"/>
        <v>0</v>
      </c>
      <c r="CZ74" s="513">
        <f t="shared" si="123"/>
        <v>0</v>
      </c>
      <c r="DA74" s="514" t="str">
        <f t="shared" si="124"/>
        <v/>
      </c>
      <c r="DB74" s="513">
        <f>(DB72)+(DB73)</f>
        <v>0</v>
      </c>
      <c r="DC74" s="513">
        <f>(DC72)+(DC73)</f>
        <v>0</v>
      </c>
      <c r="DD74" s="513">
        <f t="shared" si="125"/>
        <v>0</v>
      </c>
      <c r="DE74" s="514" t="str">
        <f t="shared" si="126"/>
        <v/>
      </c>
      <c r="DF74" s="513">
        <f>(DF72)+(DF73)</f>
        <v>0</v>
      </c>
      <c r="DG74" s="513">
        <f>(DG72)+(DG73)</f>
        <v>0</v>
      </c>
      <c r="DH74" s="513">
        <f t="shared" si="127"/>
        <v>0</v>
      </c>
      <c r="DI74" s="514" t="str">
        <f t="shared" si="128"/>
        <v/>
      </c>
      <c r="DJ74" s="513">
        <f t="shared" si="142"/>
        <v>0</v>
      </c>
      <c r="DK74" s="513">
        <f t="shared" si="142"/>
        <v>0</v>
      </c>
      <c r="DL74" s="513">
        <f t="shared" si="130"/>
        <v>0</v>
      </c>
      <c r="DM74" s="514" t="str">
        <f t="shared" si="131"/>
        <v/>
      </c>
      <c r="DN74" s="513">
        <f>(DN72)+(DN73)</f>
        <v>0</v>
      </c>
      <c r="DO74" s="513">
        <f>(DO72)+(DO73)</f>
        <v>0</v>
      </c>
      <c r="DP74" s="513">
        <f t="shared" si="132"/>
        <v>0</v>
      </c>
      <c r="DQ74" s="514" t="str">
        <f t="shared" si="133"/>
        <v/>
      </c>
      <c r="DR74" s="513">
        <f t="shared" si="143"/>
        <v>47660</v>
      </c>
      <c r="DS74" s="513">
        <f t="shared" si="144"/>
        <v>30000</v>
      </c>
      <c r="DT74" s="513">
        <f t="shared" si="136"/>
        <v>17660</v>
      </c>
      <c r="DU74" s="514">
        <f t="shared" si="137"/>
        <v>1.5886666666666667</v>
      </c>
    </row>
    <row r="75" spans="1:125" x14ac:dyDescent="0.25">
      <c r="A75" s="2" t="s">
        <v>888</v>
      </c>
      <c r="B75" s="511">
        <f>1681.11</f>
        <v>1681.11</v>
      </c>
      <c r="C75" s="3"/>
      <c r="D75" s="511">
        <f t="shared" si="69"/>
        <v>1681.11</v>
      </c>
      <c r="E75" s="512" t="str">
        <f t="shared" si="70"/>
        <v/>
      </c>
      <c r="F75" s="3"/>
      <c r="G75" s="3"/>
      <c r="H75" s="511">
        <f t="shared" si="71"/>
        <v>0</v>
      </c>
      <c r="I75" s="512" t="str">
        <f t="shared" si="72"/>
        <v/>
      </c>
      <c r="J75" s="3"/>
      <c r="K75" s="3"/>
      <c r="L75" s="511">
        <f t="shared" si="73"/>
        <v>0</v>
      </c>
      <c r="M75" s="512" t="str">
        <f t="shared" si="74"/>
        <v/>
      </c>
      <c r="N75" s="3"/>
      <c r="O75" s="3"/>
      <c r="P75" s="511">
        <f t="shared" si="75"/>
        <v>0</v>
      </c>
      <c r="Q75" s="512" t="str">
        <f t="shared" si="76"/>
        <v/>
      </c>
      <c r="R75" s="3"/>
      <c r="S75" s="3"/>
      <c r="T75" s="511">
        <f t="shared" si="77"/>
        <v>0</v>
      </c>
      <c r="U75" s="512" t="str">
        <f t="shared" si="78"/>
        <v/>
      </c>
      <c r="V75" s="3"/>
      <c r="W75" s="511">
        <f>59600</f>
        <v>59600</v>
      </c>
      <c r="X75" s="511">
        <f t="shared" si="79"/>
        <v>-59600</v>
      </c>
      <c r="Y75" s="512">
        <f t="shared" si="80"/>
        <v>0</v>
      </c>
      <c r="Z75" s="511">
        <f>863.64</f>
        <v>863.64</v>
      </c>
      <c r="AA75" s="3"/>
      <c r="AB75" s="511">
        <f t="shared" si="81"/>
        <v>863.64</v>
      </c>
      <c r="AC75" s="512" t="str">
        <f t="shared" si="82"/>
        <v/>
      </c>
      <c r="AD75" s="511">
        <f>1970.84</f>
        <v>1970.84</v>
      </c>
      <c r="AE75" s="3"/>
      <c r="AF75" s="511">
        <f t="shared" si="83"/>
        <v>1970.84</v>
      </c>
      <c r="AG75" s="512" t="str">
        <f t="shared" si="84"/>
        <v/>
      </c>
      <c r="AH75" s="511">
        <f>4318.19</f>
        <v>4318.1899999999996</v>
      </c>
      <c r="AI75" s="3"/>
      <c r="AJ75" s="511">
        <f t="shared" si="85"/>
        <v>4318.1899999999996</v>
      </c>
      <c r="AK75" s="512" t="str">
        <f t="shared" si="86"/>
        <v/>
      </c>
      <c r="AL75" s="511">
        <f>1000</f>
        <v>1000</v>
      </c>
      <c r="AM75" s="3"/>
      <c r="AN75" s="511">
        <f t="shared" si="87"/>
        <v>1000</v>
      </c>
      <c r="AO75" s="512" t="str">
        <f t="shared" si="88"/>
        <v/>
      </c>
      <c r="AP75" s="511">
        <f>4000</f>
        <v>4000</v>
      </c>
      <c r="AQ75" s="3"/>
      <c r="AR75" s="511">
        <f t="shared" si="89"/>
        <v>4000</v>
      </c>
      <c r="AS75" s="512" t="str">
        <f t="shared" si="90"/>
        <v/>
      </c>
      <c r="AT75" s="3"/>
      <c r="AU75" s="3"/>
      <c r="AV75" s="511">
        <f t="shared" si="91"/>
        <v>0</v>
      </c>
      <c r="AW75" s="512" t="str">
        <f t="shared" si="92"/>
        <v/>
      </c>
      <c r="AX75" s="511">
        <f t="shared" si="138"/>
        <v>12152.67</v>
      </c>
      <c r="AY75" s="511">
        <f t="shared" si="138"/>
        <v>59600</v>
      </c>
      <c r="AZ75" s="511">
        <f t="shared" si="94"/>
        <v>-47447.33</v>
      </c>
      <c r="BA75" s="512">
        <f t="shared" si="95"/>
        <v>0.20390385906040268</v>
      </c>
      <c r="BB75" s="511">
        <f>5166.96</f>
        <v>5166.96</v>
      </c>
      <c r="BC75" s="511">
        <f>41000</f>
        <v>41000</v>
      </c>
      <c r="BD75" s="511">
        <f t="shared" si="96"/>
        <v>-35833.040000000001</v>
      </c>
      <c r="BE75" s="512">
        <f t="shared" si="97"/>
        <v>0.12602341463414635</v>
      </c>
      <c r="BF75" s="3"/>
      <c r="BG75" s="3"/>
      <c r="BH75" s="511">
        <f t="shared" si="98"/>
        <v>0</v>
      </c>
      <c r="BI75" s="512" t="str">
        <f t="shared" si="99"/>
        <v/>
      </c>
      <c r="BJ75" s="511">
        <f>5440</f>
        <v>5440</v>
      </c>
      <c r="BK75" s="3"/>
      <c r="BL75" s="511">
        <f t="shared" si="100"/>
        <v>5440</v>
      </c>
      <c r="BM75" s="512" t="str">
        <f t="shared" si="101"/>
        <v/>
      </c>
      <c r="BN75" s="511">
        <f>3877.46</f>
        <v>3877.46</v>
      </c>
      <c r="BO75" s="3"/>
      <c r="BP75" s="511">
        <f t="shared" si="102"/>
        <v>3877.46</v>
      </c>
      <c r="BQ75" s="512" t="str">
        <f t="shared" si="103"/>
        <v/>
      </c>
      <c r="BR75" s="511">
        <f t="shared" si="139"/>
        <v>14484.419999999998</v>
      </c>
      <c r="BS75" s="511">
        <f t="shared" si="139"/>
        <v>41000</v>
      </c>
      <c r="BT75" s="511">
        <f t="shared" si="105"/>
        <v>-26515.58</v>
      </c>
      <c r="BU75" s="512">
        <f t="shared" si="106"/>
        <v>0.35327853658536579</v>
      </c>
      <c r="BV75" s="3"/>
      <c r="BW75" s="3"/>
      <c r="BX75" s="511">
        <f t="shared" si="107"/>
        <v>0</v>
      </c>
      <c r="BY75" s="512" t="str">
        <f t="shared" si="108"/>
        <v/>
      </c>
      <c r="BZ75" s="3"/>
      <c r="CA75" s="3"/>
      <c r="CB75" s="511">
        <f t="shared" si="109"/>
        <v>0</v>
      </c>
      <c r="CC75" s="512" t="str">
        <f t="shared" si="110"/>
        <v/>
      </c>
      <c r="CD75" s="3"/>
      <c r="CE75" s="3"/>
      <c r="CF75" s="511">
        <f t="shared" si="111"/>
        <v>0</v>
      </c>
      <c r="CG75" s="512" t="str">
        <f t="shared" si="112"/>
        <v/>
      </c>
      <c r="CH75" s="3"/>
      <c r="CI75" s="3"/>
      <c r="CJ75" s="511">
        <f t="shared" si="113"/>
        <v>0</v>
      </c>
      <c r="CK75" s="512" t="str">
        <f t="shared" si="114"/>
        <v/>
      </c>
      <c r="CL75" s="511">
        <f t="shared" si="140"/>
        <v>0</v>
      </c>
      <c r="CM75" s="511">
        <f t="shared" si="140"/>
        <v>0</v>
      </c>
      <c r="CN75" s="511">
        <f t="shared" si="116"/>
        <v>0</v>
      </c>
      <c r="CO75" s="512" t="str">
        <f t="shared" si="117"/>
        <v/>
      </c>
      <c r="CP75" s="3"/>
      <c r="CQ75" s="3"/>
      <c r="CR75" s="511">
        <f t="shared" si="118"/>
        <v>0</v>
      </c>
      <c r="CS75" s="512" t="str">
        <f t="shared" si="119"/>
        <v/>
      </c>
      <c r="CT75" s="3"/>
      <c r="CU75" s="3"/>
      <c r="CV75" s="511">
        <f t="shared" si="120"/>
        <v>0</v>
      </c>
      <c r="CW75" s="512" t="str">
        <f t="shared" si="121"/>
        <v/>
      </c>
      <c r="CX75" s="511">
        <f t="shared" si="141"/>
        <v>0</v>
      </c>
      <c r="CY75" s="511">
        <f t="shared" si="141"/>
        <v>0</v>
      </c>
      <c r="CZ75" s="511">
        <f t="shared" si="123"/>
        <v>0</v>
      </c>
      <c r="DA75" s="512" t="str">
        <f t="shared" si="124"/>
        <v/>
      </c>
      <c r="DB75" s="3"/>
      <c r="DC75" s="3"/>
      <c r="DD75" s="511">
        <f t="shared" si="125"/>
        <v>0</v>
      </c>
      <c r="DE75" s="512" t="str">
        <f t="shared" si="126"/>
        <v/>
      </c>
      <c r="DF75" s="3"/>
      <c r="DG75" s="3"/>
      <c r="DH75" s="511">
        <f t="shared" si="127"/>
        <v>0</v>
      </c>
      <c r="DI75" s="512" t="str">
        <f t="shared" si="128"/>
        <v/>
      </c>
      <c r="DJ75" s="511">
        <f t="shared" si="142"/>
        <v>0</v>
      </c>
      <c r="DK75" s="511">
        <f t="shared" si="142"/>
        <v>0</v>
      </c>
      <c r="DL75" s="511">
        <f t="shared" si="130"/>
        <v>0</v>
      </c>
      <c r="DM75" s="512" t="str">
        <f t="shared" si="131"/>
        <v/>
      </c>
      <c r="DN75" s="3"/>
      <c r="DO75" s="3"/>
      <c r="DP75" s="511">
        <f t="shared" si="132"/>
        <v>0</v>
      </c>
      <c r="DQ75" s="512" t="str">
        <f t="shared" si="133"/>
        <v/>
      </c>
      <c r="DR75" s="511">
        <f t="shared" si="143"/>
        <v>28318.199999999997</v>
      </c>
      <c r="DS75" s="511">
        <f t="shared" si="144"/>
        <v>100600</v>
      </c>
      <c r="DT75" s="511">
        <f t="shared" si="136"/>
        <v>-72281.8</v>
      </c>
      <c r="DU75" s="512">
        <f t="shared" si="137"/>
        <v>0.28149304174950296</v>
      </c>
    </row>
    <row r="76" spans="1:125" x14ac:dyDescent="0.25">
      <c r="A76" s="2" t="s">
        <v>83</v>
      </c>
      <c r="B76" s="513">
        <f>((((B69)+(B70))+(B71))+(B74))+(B75)</f>
        <v>1681.11</v>
      </c>
      <c r="C76" s="513">
        <f>((((C69)+(C70))+(C71))+(C74))+(C75)</f>
        <v>90000</v>
      </c>
      <c r="D76" s="513">
        <f t="shared" si="69"/>
        <v>-88318.89</v>
      </c>
      <c r="E76" s="514">
        <f t="shared" si="70"/>
        <v>1.8678999999999998E-2</v>
      </c>
      <c r="F76" s="513">
        <f>((((F69)+(F70))+(F71))+(F74))+(F75)</f>
        <v>0</v>
      </c>
      <c r="G76" s="513">
        <f>((((G69)+(G70))+(G71))+(G74))+(G75)</f>
        <v>0</v>
      </c>
      <c r="H76" s="513">
        <f t="shared" si="71"/>
        <v>0</v>
      </c>
      <c r="I76" s="514" t="str">
        <f t="shared" si="72"/>
        <v/>
      </c>
      <c r="J76" s="513">
        <f>((((J69)+(J70))+(J71))+(J74))+(J75)</f>
        <v>9200</v>
      </c>
      <c r="K76" s="513">
        <f>((((K69)+(K70))+(K71))+(K74))+(K75)</f>
        <v>0</v>
      </c>
      <c r="L76" s="513">
        <f t="shared" si="73"/>
        <v>9200</v>
      </c>
      <c r="M76" s="514" t="str">
        <f t="shared" si="74"/>
        <v/>
      </c>
      <c r="N76" s="513">
        <f>((((N69)+(N70))+(N71))+(N74))+(N75)</f>
        <v>112614.37</v>
      </c>
      <c r="O76" s="513">
        <f>((((O69)+(O70))+(O71))+(O74))+(O75)</f>
        <v>0</v>
      </c>
      <c r="P76" s="513">
        <f t="shared" si="75"/>
        <v>112614.37</v>
      </c>
      <c r="Q76" s="514" t="str">
        <f t="shared" si="76"/>
        <v/>
      </c>
      <c r="R76" s="513">
        <f>((((R69)+(R70))+(R71))+(R74))+(R75)</f>
        <v>0</v>
      </c>
      <c r="S76" s="513">
        <f>((((S69)+(S70))+(S71))+(S74))+(S75)</f>
        <v>0</v>
      </c>
      <c r="T76" s="513">
        <f t="shared" si="77"/>
        <v>0</v>
      </c>
      <c r="U76" s="514" t="str">
        <f t="shared" si="78"/>
        <v/>
      </c>
      <c r="V76" s="513">
        <f>((((V69)+(V70))+(V71))+(V74))+(V75)</f>
        <v>0</v>
      </c>
      <c r="W76" s="513">
        <f>((((W69)+(W70))+(W71))+(W74))+(W75)</f>
        <v>59600</v>
      </c>
      <c r="X76" s="513">
        <f t="shared" si="79"/>
        <v>-59600</v>
      </c>
      <c r="Y76" s="514">
        <f t="shared" si="80"/>
        <v>0</v>
      </c>
      <c r="Z76" s="513">
        <f>((((Z69)+(Z70))+(Z71))+(Z74))+(Z75)</f>
        <v>863.64</v>
      </c>
      <c r="AA76" s="513">
        <f>((((AA69)+(AA70))+(AA71))+(AA74))+(AA75)</f>
        <v>0</v>
      </c>
      <c r="AB76" s="513">
        <f t="shared" si="81"/>
        <v>863.64</v>
      </c>
      <c r="AC76" s="514" t="str">
        <f t="shared" si="82"/>
        <v/>
      </c>
      <c r="AD76" s="513">
        <f>((((AD69)+(AD70))+(AD71))+(AD74))+(AD75)</f>
        <v>1970.84</v>
      </c>
      <c r="AE76" s="513">
        <f>((((AE69)+(AE70))+(AE71))+(AE74))+(AE75)</f>
        <v>0</v>
      </c>
      <c r="AF76" s="513">
        <f t="shared" si="83"/>
        <v>1970.84</v>
      </c>
      <c r="AG76" s="514" t="str">
        <f t="shared" si="84"/>
        <v/>
      </c>
      <c r="AH76" s="513">
        <f>((((AH69)+(AH70))+(AH71))+(AH74))+(AH75)</f>
        <v>4318.1899999999996</v>
      </c>
      <c r="AI76" s="513">
        <f>((((AI69)+(AI70))+(AI71))+(AI74))+(AI75)</f>
        <v>0</v>
      </c>
      <c r="AJ76" s="513">
        <f t="shared" si="85"/>
        <v>4318.1899999999996</v>
      </c>
      <c r="AK76" s="514" t="str">
        <f t="shared" si="86"/>
        <v/>
      </c>
      <c r="AL76" s="513">
        <f>((((AL69)+(AL70))+(AL71))+(AL74))+(AL75)</f>
        <v>1500</v>
      </c>
      <c r="AM76" s="513">
        <f>((((AM69)+(AM70))+(AM71))+(AM74))+(AM75)</f>
        <v>0</v>
      </c>
      <c r="AN76" s="513">
        <f t="shared" si="87"/>
        <v>1500</v>
      </c>
      <c r="AO76" s="514" t="str">
        <f t="shared" si="88"/>
        <v/>
      </c>
      <c r="AP76" s="513">
        <f>((((AP69)+(AP70))+(AP71))+(AP74))+(AP75)</f>
        <v>4000</v>
      </c>
      <c r="AQ76" s="513">
        <f>((((AQ69)+(AQ70))+(AQ71))+(AQ74))+(AQ75)</f>
        <v>0</v>
      </c>
      <c r="AR76" s="513">
        <f t="shared" si="89"/>
        <v>4000</v>
      </c>
      <c r="AS76" s="514" t="str">
        <f t="shared" si="90"/>
        <v/>
      </c>
      <c r="AT76" s="513">
        <f>((((AT69)+(AT70))+(AT71))+(AT74))+(AT75)</f>
        <v>0</v>
      </c>
      <c r="AU76" s="513">
        <f>((((AU69)+(AU70))+(AU71))+(AU74))+(AU75)</f>
        <v>0</v>
      </c>
      <c r="AV76" s="513">
        <f t="shared" si="91"/>
        <v>0</v>
      </c>
      <c r="AW76" s="514" t="str">
        <f t="shared" si="92"/>
        <v/>
      </c>
      <c r="AX76" s="513">
        <f t="shared" si="138"/>
        <v>12652.67</v>
      </c>
      <c r="AY76" s="513">
        <f t="shared" si="138"/>
        <v>59600</v>
      </c>
      <c r="AZ76" s="513">
        <f t="shared" si="94"/>
        <v>-46947.33</v>
      </c>
      <c r="BA76" s="514">
        <f t="shared" si="95"/>
        <v>0.21229312080536913</v>
      </c>
      <c r="BB76" s="513">
        <f>((((BB69)+(BB70))+(BB71))+(BB74))+(BB75)</f>
        <v>5166.96</v>
      </c>
      <c r="BC76" s="513">
        <f>((((BC69)+(BC70))+(BC71))+(BC74))+(BC75)</f>
        <v>41000</v>
      </c>
      <c r="BD76" s="513">
        <f t="shared" si="96"/>
        <v>-35833.040000000001</v>
      </c>
      <c r="BE76" s="514">
        <f t="shared" si="97"/>
        <v>0.12602341463414635</v>
      </c>
      <c r="BF76" s="513">
        <f>((((BF69)+(BF70))+(BF71))+(BF74))+(BF75)</f>
        <v>0</v>
      </c>
      <c r="BG76" s="513">
        <f>((((BG69)+(BG70))+(BG71))+(BG74))+(BG75)</f>
        <v>0</v>
      </c>
      <c r="BH76" s="513">
        <f t="shared" si="98"/>
        <v>0</v>
      </c>
      <c r="BI76" s="514" t="str">
        <f t="shared" si="99"/>
        <v/>
      </c>
      <c r="BJ76" s="513">
        <f>((((BJ69)+(BJ70))+(BJ71))+(BJ74))+(BJ75)</f>
        <v>5440</v>
      </c>
      <c r="BK76" s="513">
        <f>((((BK69)+(BK70))+(BK71))+(BK74))+(BK75)</f>
        <v>0</v>
      </c>
      <c r="BL76" s="513">
        <f t="shared" si="100"/>
        <v>5440</v>
      </c>
      <c r="BM76" s="514" t="str">
        <f t="shared" si="101"/>
        <v/>
      </c>
      <c r="BN76" s="513">
        <f>((((BN69)+(BN70))+(BN71))+(BN74))+(BN75)</f>
        <v>3877.46</v>
      </c>
      <c r="BO76" s="513">
        <f>((((BO69)+(BO70))+(BO71))+(BO74))+(BO75)</f>
        <v>0</v>
      </c>
      <c r="BP76" s="513">
        <f t="shared" si="102"/>
        <v>3877.46</v>
      </c>
      <c r="BQ76" s="514" t="str">
        <f t="shared" si="103"/>
        <v/>
      </c>
      <c r="BR76" s="513">
        <f t="shared" si="139"/>
        <v>14484.419999999998</v>
      </c>
      <c r="BS76" s="513">
        <f t="shared" si="139"/>
        <v>41000</v>
      </c>
      <c r="BT76" s="513">
        <f t="shared" si="105"/>
        <v>-26515.58</v>
      </c>
      <c r="BU76" s="514">
        <f t="shared" si="106"/>
        <v>0.35327853658536579</v>
      </c>
      <c r="BV76" s="513">
        <f>((((BV69)+(BV70))+(BV71))+(BV74))+(BV75)</f>
        <v>0</v>
      </c>
      <c r="BW76" s="513">
        <f>((((BW69)+(BW70))+(BW71))+(BW74))+(BW75)</f>
        <v>0</v>
      </c>
      <c r="BX76" s="513">
        <f t="shared" si="107"/>
        <v>0</v>
      </c>
      <c r="BY76" s="514" t="str">
        <f t="shared" si="108"/>
        <v/>
      </c>
      <c r="BZ76" s="513">
        <f>((((BZ69)+(BZ70))+(BZ71))+(BZ74))+(BZ75)</f>
        <v>0</v>
      </c>
      <c r="CA76" s="513">
        <f>((((CA69)+(CA70))+(CA71))+(CA74))+(CA75)</f>
        <v>0</v>
      </c>
      <c r="CB76" s="513">
        <f t="shared" si="109"/>
        <v>0</v>
      </c>
      <c r="CC76" s="514" t="str">
        <f t="shared" si="110"/>
        <v/>
      </c>
      <c r="CD76" s="513">
        <f>((((CD69)+(CD70))+(CD71))+(CD74))+(CD75)</f>
        <v>0</v>
      </c>
      <c r="CE76" s="513">
        <f>((((CE69)+(CE70))+(CE71))+(CE74))+(CE75)</f>
        <v>0</v>
      </c>
      <c r="CF76" s="513">
        <f t="shared" si="111"/>
        <v>0</v>
      </c>
      <c r="CG76" s="514" t="str">
        <f t="shared" si="112"/>
        <v/>
      </c>
      <c r="CH76" s="513">
        <f>((((CH69)+(CH70))+(CH71))+(CH74))+(CH75)</f>
        <v>0</v>
      </c>
      <c r="CI76" s="513">
        <f>((((CI69)+(CI70))+(CI71))+(CI74))+(CI75)</f>
        <v>0</v>
      </c>
      <c r="CJ76" s="513">
        <f t="shared" si="113"/>
        <v>0</v>
      </c>
      <c r="CK76" s="514" t="str">
        <f t="shared" si="114"/>
        <v/>
      </c>
      <c r="CL76" s="513">
        <f t="shared" si="140"/>
        <v>0</v>
      </c>
      <c r="CM76" s="513">
        <f t="shared" si="140"/>
        <v>0</v>
      </c>
      <c r="CN76" s="513">
        <f t="shared" si="116"/>
        <v>0</v>
      </c>
      <c r="CO76" s="514" t="str">
        <f t="shared" si="117"/>
        <v/>
      </c>
      <c r="CP76" s="513">
        <f>((((CP69)+(CP70))+(CP71))+(CP74))+(CP75)</f>
        <v>0</v>
      </c>
      <c r="CQ76" s="513">
        <f>((((CQ69)+(CQ70))+(CQ71))+(CQ74))+(CQ75)</f>
        <v>0</v>
      </c>
      <c r="CR76" s="513">
        <f t="shared" si="118"/>
        <v>0</v>
      </c>
      <c r="CS76" s="514" t="str">
        <f t="shared" si="119"/>
        <v/>
      </c>
      <c r="CT76" s="513">
        <f>((((CT69)+(CT70))+(CT71))+(CT74))+(CT75)</f>
        <v>0</v>
      </c>
      <c r="CU76" s="513">
        <f>((((CU69)+(CU70))+(CU71))+(CU74))+(CU75)</f>
        <v>0</v>
      </c>
      <c r="CV76" s="513">
        <f t="shared" si="120"/>
        <v>0</v>
      </c>
      <c r="CW76" s="514" t="str">
        <f t="shared" si="121"/>
        <v/>
      </c>
      <c r="CX76" s="513">
        <f t="shared" si="141"/>
        <v>0</v>
      </c>
      <c r="CY76" s="513">
        <f t="shared" si="141"/>
        <v>0</v>
      </c>
      <c r="CZ76" s="513">
        <f t="shared" si="123"/>
        <v>0</v>
      </c>
      <c r="DA76" s="514" t="str">
        <f t="shared" si="124"/>
        <v/>
      </c>
      <c r="DB76" s="513">
        <f>((((DB69)+(DB70))+(DB71))+(DB74))+(DB75)</f>
        <v>0</v>
      </c>
      <c r="DC76" s="513">
        <f>((((DC69)+(DC70))+(DC71))+(DC74))+(DC75)</f>
        <v>0</v>
      </c>
      <c r="DD76" s="513">
        <f t="shared" si="125"/>
        <v>0</v>
      </c>
      <c r="DE76" s="514" t="str">
        <f t="shared" si="126"/>
        <v/>
      </c>
      <c r="DF76" s="513">
        <f>((((DF69)+(DF70))+(DF71))+(DF74))+(DF75)</f>
        <v>0</v>
      </c>
      <c r="DG76" s="513">
        <f>((((DG69)+(DG70))+(DG71))+(DG74))+(DG75)</f>
        <v>0</v>
      </c>
      <c r="DH76" s="513">
        <f t="shared" si="127"/>
        <v>0</v>
      </c>
      <c r="DI76" s="514" t="str">
        <f t="shared" si="128"/>
        <v/>
      </c>
      <c r="DJ76" s="513">
        <f t="shared" si="142"/>
        <v>0</v>
      </c>
      <c r="DK76" s="513">
        <f t="shared" si="142"/>
        <v>0</v>
      </c>
      <c r="DL76" s="513">
        <f t="shared" si="130"/>
        <v>0</v>
      </c>
      <c r="DM76" s="514" t="str">
        <f t="shared" si="131"/>
        <v/>
      </c>
      <c r="DN76" s="513">
        <f>((((DN69)+(DN70))+(DN71))+(DN74))+(DN75)</f>
        <v>0</v>
      </c>
      <c r="DO76" s="513">
        <f>((((DO69)+(DO70))+(DO71))+(DO74))+(DO75)</f>
        <v>0</v>
      </c>
      <c r="DP76" s="513">
        <f t="shared" si="132"/>
        <v>0</v>
      </c>
      <c r="DQ76" s="514" t="str">
        <f t="shared" si="133"/>
        <v/>
      </c>
      <c r="DR76" s="513">
        <f t="shared" si="143"/>
        <v>150632.57</v>
      </c>
      <c r="DS76" s="513">
        <f t="shared" si="144"/>
        <v>190600</v>
      </c>
      <c r="DT76" s="513">
        <f t="shared" si="136"/>
        <v>-39967.429999999993</v>
      </c>
      <c r="DU76" s="514">
        <f t="shared" si="137"/>
        <v>0.79030729275970624</v>
      </c>
    </row>
    <row r="77" spans="1:125" x14ac:dyDescent="0.25">
      <c r="A77" s="2" t="s">
        <v>889</v>
      </c>
      <c r="B77" s="3"/>
      <c r="C77" s="3"/>
      <c r="D77" s="511">
        <f t="shared" si="69"/>
        <v>0</v>
      </c>
      <c r="E77" s="512" t="str">
        <f t="shared" si="70"/>
        <v/>
      </c>
      <c r="F77" s="3"/>
      <c r="G77" s="3"/>
      <c r="H77" s="511">
        <f t="shared" si="71"/>
        <v>0</v>
      </c>
      <c r="I77" s="512" t="str">
        <f t="shared" si="72"/>
        <v/>
      </c>
      <c r="J77" s="511">
        <f>105.68</f>
        <v>105.68</v>
      </c>
      <c r="K77" s="3"/>
      <c r="L77" s="511">
        <f t="shared" si="73"/>
        <v>105.68</v>
      </c>
      <c r="M77" s="512" t="str">
        <f t="shared" si="74"/>
        <v/>
      </c>
      <c r="N77" s="511">
        <f>459.5</f>
        <v>459.5</v>
      </c>
      <c r="O77" s="3"/>
      <c r="P77" s="511">
        <f t="shared" si="75"/>
        <v>459.5</v>
      </c>
      <c r="Q77" s="512" t="str">
        <f t="shared" si="76"/>
        <v/>
      </c>
      <c r="R77" s="3"/>
      <c r="S77" s="3"/>
      <c r="T77" s="511">
        <f t="shared" si="77"/>
        <v>0</v>
      </c>
      <c r="U77" s="512" t="str">
        <f t="shared" si="78"/>
        <v/>
      </c>
      <c r="V77" s="3"/>
      <c r="W77" s="3"/>
      <c r="X77" s="511">
        <f t="shared" si="79"/>
        <v>0</v>
      </c>
      <c r="Y77" s="512" t="str">
        <f t="shared" si="80"/>
        <v/>
      </c>
      <c r="Z77" s="3"/>
      <c r="AA77" s="3"/>
      <c r="AB77" s="511">
        <f t="shared" si="81"/>
        <v>0</v>
      </c>
      <c r="AC77" s="512" t="str">
        <f t="shared" si="82"/>
        <v/>
      </c>
      <c r="AD77" s="3"/>
      <c r="AE77" s="3"/>
      <c r="AF77" s="511">
        <f t="shared" si="83"/>
        <v>0</v>
      </c>
      <c r="AG77" s="512" t="str">
        <f t="shared" si="84"/>
        <v/>
      </c>
      <c r="AH77" s="3"/>
      <c r="AI77" s="3"/>
      <c r="AJ77" s="511">
        <f t="shared" si="85"/>
        <v>0</v>
      </c>
      <c r="AK77" s="512" t="str">
        <f t="shared" si="86"/>
        <v/>
      </c>
      <c r="AL77" s="3"/>
      <c r="AM77" s="3"/>
      <c r="AN77" s="511">
        <f t="shared" si="87"/>
        <v>0</v>
      </c>
      <c r="AO77" s="512" t="str">
        <f t="shared" si="88"/>
        <v/>
      </c>
      <c r="AP77" s="3"/>
      <c r="AQ77" s="3"/>
      <c r="AR77" s="511">
        <f t="shared" si="89"/>
        <v>0</v>
      </c>
      <c r="AS77" s="512" t="str">
        <f t="shared" si="90"/>
        <v/>
      </c>
      <c r="AT77" s="3"/>
      <c r="AU77" s="3"/>
      <c r="AV77" s="511">
        <f t="shared" si="91"/>
        <v>0</v>
      </c>
      <c r="AW77" s="512" t="str">
        <f t="shared" si="92"/>
        <v/>
      </c>
      <c r="AX77" s="511">
        <f t="shared" si="138"/>
        <v>0</v>
      </c>
      <c r="AY77" s="511">
        <f t="shared" si="138"/>
        <v>0</v>
      </c>
      <c r="AZ77" s="511">
        <f t="shared" si="94"/>
        <v>0</v>
      </c>
      <c r="BA77" s="512" t="str">
        <f t="shared" si="95"/>
        <v/>
      </c>
      <c r="BB77" s="3"/>
      <c r="BC77" s="3"/>
      <c r="BD77" s="511">
        <f t="shared" si="96"/>
        <v>0</v>
      </c>
      <c r="BE77" s="512" t="str">
        <f t="shared" si="97"/>
        <v/>
      </c>
      <c r="BF77" s="3"/>
      <c r="BG77" s="3"/>
      <c r="BH77" s="511">
        <f t="shared" si="98"/>
        <v>0</v>
      </c>
      <c r="BI77" s="512" t="str">
        <f t="shared" si="99"/>
        <v/>
      </c>
      <c r="BJ77" s="3"/>
      <c r="BK77" s="3"/>
      <c r="BL77" s="511">
        <f t="shared" si="100"/>
        <v>0</v>
      </c>
      <c r="BM77" s="512" t="str">
        <f t="shared" si="101"/>
        <v/>
      </c>
      <c r="BN77" s="3"/>
      <c r="BO77" s="3"/>
      <c r="BP77" s="511">
        <f t="shared" si="102"/>
        <v>0</v>
      </c>
      <c r="BQ77" s="512" t="str">
        <f t="shared" si="103"/>
        <v/>
      </c>
      <c r="BR77" s="511">
        <f t="shared" si="139"/>
        <v>0</v>
      </c>
      <c r="BS77" s="511">
        <f t="shared" si="139"/>
        <v>0</v>
      </c>
      <c r="BT77" s="511">
        <f t="shared" si="105"/>
        <v>0</v>
      </c>
      <c r="BU77" s="512" t="str">
        <f t="shared" si="106"/>
        <v/>
      </c>
      <c r="BV77" s="511">
        <f>196.27</f>
        <v>196.27</v>
      </c>
      <c r="BW77" s="511">
        <f>1250.86</f>
        <v>1250.8599999999999</v>
      </c>
      <c r="BX77" s="511">
        <f t="shared" si="107"/>
        <v>-1054.5899999999999</v>
      </c>
      <c r="BY77" s="512">
        <f t="shared" si="108"/>
        <v>0.15690804726348276</v>
      </c>
      <c r="BZ77" s="3"/>
      <c r="CA77" s="3"/>
      <c r="CB77" s="511">
        <f t="shared" si="109"/>
        <v>0</v>
      </c>
      <c r="CC77" s="512" t="str">
        <f t="shared" si="110"/>
        <v/>
      </c>
      <c r="CD77" s="3"/>
      <c r="CE77" s="3"/>
      <c r="CF77" s="511">
        <f t="shared" si="111"/>
        <v>0</v>
      </c>
      <c r="CG77" s="512" t="str">
        <f t="shared" si="112"/>
        <v/>
      </c>
      <c r="CH77" s="3"/>
      <c r="CI77" s="3"/>
      <c r="CJ77" s="511">
        <f t="shared" si="113"/>
        <v>0</v>
      </c>
      <c r="CK77" s="512" t="str">
        <f t="shared" si="114"/>
        <v/>
      </c>
      <c r="CL77" s="511">
        <f t="shared" si="140"/>
        <v>0</v>
      </c>
      <c r="CM77" s="511">
        <f t="shared" si="140"/>
        <v>0</v>
      </c>
      <c r="CN77" s="511">
        <f t="shared" si="116"/>
        <v>0</v>
      </c>
      <c r="CO77" s="512" t="str">
        <f t="shared" si="117"/>
        <v/>
      </c>
      <c r="CP77" s="511">
        <f>198.23</f>
        <v>198.23</v>
      </c>
      <c r="CQ77" s="3"/>
      <c r="CR77" s="511">
        <f t="shared" si="118"/>
        <v>198.23</v>
      </c>
      <c r="CS77" s="512" t="str">
        <f t="shared" si="119"/>
        <v/>
      </c>
      <c r="CT77" s="511">
        <f>157.55</f>
        <v>157.55000000000001</v>
      </c>
      <c r="CU77" s="3"/>
      <c r="CV77" s="511">
        <f t="shared" si="120"/>
        <v>157.55000000000001</v>
      </c>
      <c r="CW77" s="512" t="str">
        <f t="shared" si="121"/>
        <v/>
      </c>
      <c r="CX77" s="511">
        <f t="shared" si="141"/>
        <v>355.78</v>
      </c>
      <c r="CY77" s="511">
        <f t="shared" si="141"/>
        <v>0</v>
      </c>
      <c r="CZ77" s="511">
        <f t="shared" si="123"/>
        <v>355.78</v>
      </c>
      <c r="DA77" s="512" t="str">
        <f t="shared" si="124"/>
        <v/>
      </c>
      <c r="DB77" s="3"/>
      <c r="DC77" s="3"/>
      <c r="DD77" s="511">
        <f t="shared" si="125"/>
        <v>0</v>
      </c>
      <c r="DE77" s="512" t="str">
        <f t="shared" si="126"/>
        <v/>
      </c>
      <c r="DF77" s="3"/>
      <c r="DG77" s="3"/>
      <c r="DH77" s="511">
        <f t="shared" si="127"/>
        <v>0</v>
      </c>
      <c r="DI77" s="512" t="str">
        <f t="shared" si="128"/>
        <v/>
      </c>
      <c r="DJ77" s="511">
        <f t="shared" si="142"/>
        <v>0</v>
      </c>
      <c r="DK77" s="511">
        <f t="shared" si="142"/>
        <v>0</v>
      </c>
      <c r="DL77" s="511">
        <f t="shared" si="130"/>
        <v>0</v>
      </c>
      <c r="DM77" s="512" t="str">
        <f t="shared" si="131"/>
        <v/>
      </c>
      <c r="DN77" s="3"/>
      <c r="DO77" s="3"/>
      <c r="DP77" s="511">
        <f t="shared" si="132"/>
        <v>0</v>
      </c>
      <c r="DQ77" s="512" t="str">
        <f t="shared" si="133"/>
        <v/>
      </c>
      <c r="DR77" s="511">
        <f t="shared" si="143"/>
        <v>1117.23</v>
      </c>
      <c r="DS77" s="511">
        <f t="shared" si="144"/>
        <v>1250.8599999999999</v>
      </c>
      <c r="DT77" s="511">
        <f t="shared" si="136"/>
        <v>-133.62999999999988</v>
      </c>
      <c r="DU77" s="512">
        <f t="shared" si="137"/>
        <v>0.89316949938442358</v>
      </c>
    </row>
    <row r="78" spans="1:125" x14ac:dyDescent="0.25">
      <c r="A78" s="2" t="s">
        <v>890</v>
      </c>
      <c r="B78" s="511">
        <f>124.75</f>
        <v>124.75</v>
      </c>
      <c r="C78" s="3"/>
      <c r="D78" s="511">
        <f t="shared" si="69"/>
        <v>124.75</v>
      </c>
      <c r="E78" s="512" t="str">
        <f t="shared" si="70"/>
        <v/>
      </c>
      <c r="F78" s="3"/>
      <c r="G78" s="511">
        <f>1100</f>
        <v>1100</v>
      </c>
      <c r="H78" s="511">
        <f t="shared" si="71"/>
        <v>-1100</v>
      </c>
      <c r="I78" s="512">
        <f t="shared" si="72"/>
        <v>0</v>
      </c>
      <c r="J78" s="511">
        <f>69.57</f>
        <v>69.569999999999993</v>
      </c>
      <c r="K78" s="3"/>
      <c r="L78" s="511">
        <f t="shared" si="73"/>
        <v>69.569999999999993</v>
      </c>
      <c r="M78" s="512" t="str">
        <f t="shared" si="74"/>
        <v/>
      </c>
      <c r="N78" s="3"/>
      <c r="O78" s="3"/>
      <c r="P78" s="511">
        <f t="shared" si="75"/>
        <v>0</v>
      </c>
      <c r="Q78" s="512" t="str">
        <f t="shared" si="76"/>
        <v/>
      </c>
      <c r="R78" s="511">
        <f>79.8</f>
        <v>79.8</v>
      </c>
      <c r="S78" s="3"/>
      <c r="T78" s="511">
        <f t="shared" si="77"/>
        <v>79.8</v>
      </c>
      <c r="U78" s="512" t="str">
        <f t="shared" si="78"/>
        <v/>
      </c>
      <c r="V78" s="511">
        <f>454.24</f>
        <v>454.24</v>
      </c>
      <c r="W78" s="3"/>
      <c r="X78" s="511">
        <f t="shared" si="79"/>
        <v>454.24</v>
      </c>
      <c r="Y78" s="512" t="str">
        <f t="shared" si="80"/>
        <v/>
      </c>
      <c r="Z78" s="3"/>
      <c r="AA78" s="3"/>
      <c r="AB78" s="511">
        <f t="shared" si="81"/>
        <v>0</v>
      </c>
      <c r="AC78" s="512" t="str">
        <f t="shared" si="82"/>
        <v/>
      </c>
      <c r="AD78" s="3"/>
      <c r="AE78" s="3"/>
      <c r="AF78" s="511">
        <f t="shared" si="83"/>
        <v>0</v>
      </c>
      <c r="AG78" s="512" t="str">
        <f t="shared" si="84"/>
        <v/>
      </c>
      <c r="AH78" s="3"/>
      <c r="AI78" s="3"/>
      <c r="AJ78" s="511">
        <f t="shared" si="85"/>
        <v>0</v>
      </c>
      <c r="AK78" s="512" t="str">
        <f t="shared" si="86"/>
        <v/>
      </c>
      <c r="AL78" s="3"/>
      <c r="AM78" s="3"/>
      <c r="AN78" s="511">
        <f t="shared" si="87"/>
        <v>0</v>
      </c>
      <c r="AO78" s="512" t="str">
        <f t="shared" si="88"/>
        <v/>
      </c>
      <c r="AP78" s="3"/>
      <c r="AQ78" s="3"/>
      <c r="AR78" s="511">
        <f t="shared" si="89"/>
        <v>0</v>
      </c>
      <c r="AS78" s="512" t="str">
        <f t="shared" si="90"/>
        <v/>
      </c>
      <c r="AT78" s="3"/>
      <c r="AU78" s="3"/>
      <c r="AV78" s="511">
        <f t="shared" si="91"/>
        <v>0</v>
      </c>
      <c r="AW78" s="512" t="str">
        <f t="shared" si="92"/>
        <v/>
      </c>
      <c r="AX78" s="511">
        <f t="shared" si="138"/>
        <v>454.24</v>
      </c>
      <c r="AY78" s="511">
        <f t="shared" si="138"/>
        <v>0</v>
      </c>
      <c r="AZ78" s="511">
        <f t="shared" si="94"/>
        <v>454.24</v>
      </c>
      <c r="BA78" s="512" t="str">
        <f t="shared" si="95"/>
        <v/>
      </c>
      <c r="BB78" s="511">
        <f>186.93</f>
        <v>186.93</v>
      </c>
      <c r="BC78" s="3"/>
      <c r="BD78" s="511">
        <f t="shared" si="96"/>
        <v>186.93</v>
      </c>
      <c r="BE78" s="512" t="str">
        <f t="shared" si="97"/>
        <v/>
      </c>
      <c r="BF78" s="3"/>
      <c r="BG78" s="3"/>
      <c r="BH78" s="511">
        <f t="shared" si="98"/>
        <v>0</v>
      </c>
      <c r="BI78" s="512" t="str">
        <f t="shared" si="99"/>
        <v/>
      </c>
      <c r="BJ78" s="511">
        <f>0</f>
        <v>0</v>
      </c>
      <c r="BK78" s="3"/>
      <c r="BL78" s="511">
        <f t="shared" si="100"/>
        <v>0</v>
      </c>
      <c r="BM78" s="512" t="str">
        <f t="shared" si="101"/>
        <v/>
      </c>
      <c r="BN78" s="3"/>
      <c r="BO78" s="3"/>
      <c r="BP78" s="511">
        <f t="shared" si="102"/>
        <v>0</v>
      </c>
      <c r="BQ78" s="512" t="str">
        <f t="shared" si="103"/>
        <v/>
      </c>
      <c r="BR78" s="511">
        <f t="shared" si="139"/>
        <v>186.93</v>
      </c>
      <c r="BS78" s="511">
        <f t="shared" si="139"/>
        <v>0</v>
      </c>
      <c r="BT78" s="511">
        <f t="shared" si="105"/>
        <v>186.93</v>
      </c>
      <c r="BU78" s="512" t="str">
        <f t="shared" si="106"/>
        <v/>
      </c>
      <c r="BV78" s="511">
        <f>2235.6</f>
        <v>2235.6</v>
      </c>
      <c r="BW78" s="3"/>
      <c r="BX78" s="511">
        <f t="shared" si="107"/>
        <v>2235.6</v>
      </c>
      <c r="BY78" s="512" t="str">
        <f t="shared" si="108"/>
        <v/>
      </c>
      <c r="BZ78" s="511">
        <f>10.6</f>
        <v>10.6</v>
      </c>
      <c r="CA78" s="3"/>
      <c r="CB78" s="511">
        <f t="shared" si="109"/>
        <v>10.6</v>
      </c>
      <c r="CC78" s="512" t="str">
        <f t="shared" si="110"/>
        <v/>
      </c>
      <c r="CD78" s="511">
        <f>715.7</f>
        <v>715.7</v>
      </c>
      <c r="CE78" s="3"/>
      <c r="CF78" s="511">
        <f t="shared" si="111"/>
        <v>715.7</v>
      </c>
      <c r="CG78" s="512" t="str">
        <f t="shared" si="112"/>
        <v/>
      </c>
      <c r="CH78" s="511">
        <f>204.82</f>
        <v>204.82</v>
      </c>
      <c r="CI78" s="3"/>
      <c r="CJ78" s="511">
        <f t="shared" si="113"/>
        <v>204.82</v>
      </c>
      <c r="CK78" s="512" t="str">
        <f t="shared" si="114"/>
        <v/>
      </c>
      <c r="CL78" s="511">
        <f t="shared" si="140"/>
        <v>920.52</v>
      </c>
      <c r="CM78" s="511">
        <f t="shared" si="140"/>
        <v>0</v>
      </c>
      <c r="CN78" s="511">
        <f t="shared" si="116"/>
        <v>920.52</v>
      </c>
      <c r="CO78" s="512" t="str">
        <f t="shared" si="117"/>
        <v/>
      </c>
      <c r="CP78" s="511">
        <f>2.84</f>
        <v>2.84</v>
      </c>
      <c r="CQ78" s="3"/>
      <c r="CR78" s="511">
        <f t="shared" si="118"/>
        <v>2.84</v>
      </c>
      <c r="CS78" s="512" t="str">
        <f t="shared" si="119"/>
        <v/>
      </c>
      <c r="CT78" s="511">
        <f>224.41</f>
        <v>224.41</v>
      </c>
      <c r="CU78" s="3"/>
      <c r="CV78" s="511">
        <f t="shared" si="120"/>
        <v>224.41</v>
      </c>
      <c r="CW78" s="512" t="str">
        <f t="shared" si="121"/>
        <v/>
      </c>
      <c r="CX78" s="511">
        <f t="shared" si="141"/>
        <v>227.25</v>
      </c>
      <c r="CY78" s="511">
        <f t="shared" si="141"/>
        <v>0</v>
      </c>
      <c r="CZ78" s="511">
        <f t="shared" si="123"/>
        <v>227.25</v>
      </c>
      <c r="DA78" s="512" t="str">
        <f t="shared" si="124"/>
        <v/>
      </c>
      <c r="DB78" s="3"/>
      <c r="DC78" s="3"/>
      <c r="DD78" s="511">
        <f t="shared" si="125"/>
        <v>0</v>
      </c>
      <c r="DE78" s="512" t="str">
        <f t="shared" si="126"/>
        <v/>
      </c>
      <c r="DF78" s="3"/>
      <c r="DG78" s="3"/>
      <c r="DH78" s="511">
        <f t="shared" si="127"/>
        <v>0</v>
      </c>
      <c r="DI78" s="512" t="str">
        <f t="shared" si="128"/>
        <v/>
      </c>
      <c r="DJ78" s="511">
        <f t="shared" si="142"/>
        <v>0</v>
      </c>
      <c r="DK78" s="511">
        <f t="shared" si="142"/>
        <v>0</v>
      </c>
      <c r="DL78" s="511">
        <f t="shared" si="130"/>
        <v>0</v>
      </c>
      <c r="DM78" s="512" t="str">
        <f t="shared" si="131"/>
        <v/>
      </c>
      <c r="DN78" s="3"/>
      <c r="DO78" s="3"/>
      <c r="DP78" s="511">
        <f t="shared" si="132"/>
        <v>0</v>
      </c>
      <c r="DQ78" s="512" t="str">
        <f t="shared" si="133"/>
        <v/>
      </c>
      <c r="DR78" s="511">
        <f t="shared" si="143"/>
        <v>4309.26</v>
      </c>
      <c r="DS78" s="511">
        <f t="shared" si="144"/>
        <v>1100</v>
      </c>
      <c r="DT78" s="511">
        <f t="shared" si="136"/>
        <v>3209.26</v>
      </c>
      <c r="DU78" s="512">
        <f t="shared" si="137"/>
        <v>3.9175090909090913</v>
      </c>
    </row>
    <row r="79" spans="1:125" x14ac:dyDescent="0.25">
      <c r="A79" s="2" t="s">
        <v>87</v>
      </c>
      <c r="B79" s="511">
        <f>2</f>
        <v>2</v>
      </c>
      <c r="C79" s="3"/>
      <c r="D79" s="511">
        <f t="shared" si="69"/>
        <v>2</v>
      </c>
      <c r="E79" s="512" t="str">
        <f t="shared" si="70"/>
        <v/>
      </c>
      <c r="F79" s="3"/>
      <c r="G79" s="3"/>
      <c r="H79" s="511">
        <f t="shared" si="71"/>
        <v>0</v>
      </c>
      <c r="I79" s="512" t="str">
        <f t="shared" si="72"/>
        <v/>
      </c>
      <c r="J79" s="3"/>
      <c r="K79" s="3"/>
      <c r="L79" s="511">
        <f t="shared" si="73"/>
        <v>0</v>
      </c>
      <c r="M79" s="512" t="str">
        <f t="shared" si="74"/>
        <v/>
      </c>
      <c r="N79" s="3"/>
      <c r="O79" s="3"/>
      <c r="P79" s="511">
        <f t="shared" si="75"/>
        <v>0</v>
      </c>
      <c r="Q79" s="512" t="str">
        <f t="shared" si="76"/>
        <v/>
      </c>
      <c r="R79" s="3"/>
      <c r="S79" s="3"/>
      <c r="T79" s="511">
        <f t="shared" si="77"/>
        <v>0</v>
      </c>
      <c r="U79" s="512" t="str">
        <f t="shared" si="78"/>
        <v/>
      </c>
      <c r="V79" s="3"/>
      <c r="W79" s="3"/>
      <c r="X79" s="511">
        <f t="shared" si="79"/>
        <v>0</v>
      </c>
      <c r="Y79" s="512" t="str">
        <f t="shared" si="80"/>
        <v/>
      </c>
      <c r="Z79" s="3"/>
      <c r="AA79" s="3"/>
      <c r="AB79" s="511">
        <f t="shared" si="81"/>
        <v>0</v>
      </c>
      <c r="AC79" s="512" t="str">
        <f t="shared" si="82"/>
        <v/>
      </c>
      <c r="AD79" s="3"/>
      <c r="AE79" s="3"/>
      <c r="AF79" s="511">
        <f t="shared" si="83"/>
        <v>0</v>
      </c>
      <c r="AG79" s="512" t="str">
        <f t="shared" si="84"/>
        <v/>
      </c>
      <c r="AH79" s="3"/>
      <c r="AI79" s="3"/>
      <c r="AJ79" s="511">
        <f t="shared" si="85"/>
        <v>0</v>
      </c>
      <c r="AK79" s="512" t="str">
        <f t="shared" si="86"/>
        <v/>
      </c>
      <c r="AL79" s="3"/>
      <c r="AM79" s="3"/>
      <c r="AN79" s="511">
        <f t="shared" si="87"/>
        <v>0</v>
      </c>
      <c r="AO79" s="512" t="str">
        <f t="shared" si="88"/>
        <v/>
      </c>
      <c r="AP79" s="3"/>
      <c r="AQ79" s="3"/>
      <c r="AR79" s="511">
        <f t="shared" si="89"/>
        <v>0</v>
      </c>
      <c r="AS79" s="512" t="str">
        <f t="shared" si="90"/>
        <v/>
      </c>
      <c r="AT79" s="3"/>
      <c r="AU79" s="3"/>
      <c r="AV79" s="511">
        <f t="shared" si="91"/>
        <v>0</v>
      </c>
      <c r="AW79" s="512" t="str">
        <f t="shared" si="92"/>
        <v/>
      </c>
      <c r="AX79" s="511">
        <f t="shared" si="138"/>
        <v>0</v>
      </c>
      <c r="AY79" s="511">
        <f t="shared" si="138"/>
        <v>0</v>
      </c>
      <c r="AZ79" s="511">
        <f t="shared" si="94"/>
        <v>0</v>
      </c>
      <c r="BA79" s="512" t="str">
        <f t="shared" si="95"/>
        <v/>
      </c>
      <c r="BB79" s="3"/>
      <c r="BC79" s="3"/>
      <c r="BD79" s="511">
        <f t="shared" si="96"/>
        <v>0</v>
      </c>
      <c r="BE79" s="512" t="str">
        <f t="shared" si="97"/>
        <v/>
      </c>
      <c r="BF79" s="3"/>
      <c r="BG79" s="3"/>
      <c r="BH79" s="511">
        <f t="shared" si="98"/>
        <v>0</v>
      </c>
      <c r="BI79" s="512" t="str">
        <f t="shared" si="99"/>
        <v/>
      </c>
      <c r="BJ79" s="3"/>
      <c r="BK79" s="3"/>
      <c r="BL79" s="511">
        <f t="shared" si="100"/>
        <v>0</v>
      </c>
      <c r="BM79" s="512" t="str">
        <f t="shared" si="101"/>
        <v/>
      </c>
      <c r="BN79" s="3"/>
      <c r="BO79" s="3"/>
      <c r="BP79" s="511">
        <f t="shared" si="102"/>
        <v>0</v>
      </c>
      <c r="BQ79" s="512" t="str">
        <f t="shared" si="103"/>
        <v/>
      </c>
      <c r="BR79" s="511">
        <f t="shared" si="139"/>
        <v>0</v>
      </c>
      <c r="BS79" s="511">
        <f t="shared" si="139"/>
        <v>0</v>
      </c>
      <c r="BT79" s="511">
        <f t="shared" si="105"/>
        <v>0</v>
      </c>
      <c r="BU79" s="512" t="str">
        <f t="shared" si="106"/>
        <v/>
      </c>
      <c r="BV79" s="3"/>
      <c r="BW79" s="3"/>
      <c r="BX79" s="511">
        <f t="shared" si="107"/>
        <v>0</v>
      </c>
      <c r="BY79" s="512" t="str">
        <f t="shared" si="108"/>
        <v/>
      </c>
      <c r="BZ79" s="3"/>
      <c r="CA79" s="3"/>
      <c r="CB79" s="511">
        <f t="shared" si="109"/>
        <v>0</v>
      </c>
      <c r="CC79" s="512" t="str">
        <f t="shared" si="110"/>
        <v/>
      </c>
      <c r="CD79" s="3"/>
      <c r="CE79" s="3"/>
      <c r="CF79" s="511">
        <f t="shared" si="111"/>
        <v>0</v>
      </c>
      <c r="CG79" s="512" t="str">
        <f t="shared" si="112"/>
        <v/>
      </c>
      <c r="CH79" s="3"/>
      <c r="CI79" s="3"/>
      <c r="CJ79" s="511">
        <f t="shared" si="113"/>
        <v>0</v>
      </c>
      <c r="CK79" s="512" t="str">
        <f t="shared" si="114"/>
        <v/>
      </c>
      <c r="CL79" s="511">
        <f t="shared" si="140"/>
        <v>0</v>
      </c>
      <c r="CM79" s="511">
        <f t="shared" si="140"/>
        <v>0</v>
      </c>
      <c r="CN79" s="511">
        <f t="shared" si="116"/>
        <v>0</v>
      </c>
      <c r="CO79" s="512" t="str">
        <f t="shared" si="117"/>
        <v/>
      </c>
      <c r="CP79" s="3"/>
      <c r="CQ79" s="3"/>
      <c r="CR79" s="511">
        <f t="shared" si="118"/>
        <v>0</v>
      </c>
      <c r="CS79" s="512" t="str">
        <f t="shared" si="119"/>
        <v/>
      </c>
      <c r="CT79" s="3"/>
      <c r="CU79" s="3"/>
      <c r="CV79" s="511">
        <f t="shared" si="120"/>
        <v>0</v>
      </c>
      <c r="CW79" s="512" t="str">
        <f t="shared" si="121"/>
        <v/>
      </c>
      <c r="CX79" s="511">
        <f t="shared" si="141"/>
        <v>0</v>
      </c>
      <c r="CY79" s="511">
        <f t="shared" si="141"/>
        <v>0</v>
      </c>
      <c r="CZ79" s="511">
        <f t="shared" si="123"/>
        <v>0</v>
      </c>
      <c r="DA79" s="512" t="str">
        <f t="shared" si="124"/>
        <v/>
      </c>
      <c r="DB79" s="3"/>
      <c r="DC79" s="3"/>
      <c r="DD79" s="511">
        <f t="shared" si="125"/>
        <v>0</v>
      </c>
      <c r="DE79" s="512" t="str">
        <f t="shared" si="126"/>
        <v/>
      </c>
      <c r="DF79" s="3"/>
      <c r="DG79" s="3"/>
      <c r="DH79" s="511">
        <f t="shared" si="127"/>
        <v>0</v>
      </c>
      <c r="DI79" s="512" t="str">
        <f t="shared" si="128"/>
        <v/>
      </c>
      <c r="DJ79" s="511">
        <f t="shared" si="142"/>
        <v>0</v>
      </c>
      <c r="DK79" s="511">
        <f t="shared" si="142"/>
        <v>0</v>
      </c>
      <c r="DL79" s="511">
        <f t="shared" si="130"/>
        <v>0</v>
      </c>
      <c r="DM79" s="512" t="str">
        <f t="shared" si="131"/>
        <v/>
      </c>
      <c r="DN79" s="3"/>
      <c r="DO79" s="3"/>
      <c r="DP79" s="511">
        <f t="shared" si="132"/>
        <v>0</v>
      </c>
      <c r="DQ79" s="512" t="str">
        <f t="shared" si="133"/>
        <v/>
      </c>
      <c r="DR79" s="511">
        <f t="shared" si="143"/>
        <v>2</v>
      </c>
      <c r="DS79" s="511">
        <f t="shared" si="144"/>
        <v>0</v>
      </c>
      <c r="DT79" s="511">
        <f t="shared" si="136"/>
        <v>2</v>
      </c>
      <c r="DU79" s="512" t="str">
        <f t="shared" si="137"/>
        <v/>
      </c>
    </row>
    <row r="80" spans="1:125" x14ac:dyDescent="0.25">
      <c r="A80" s="2" t="s">
        <v>88</v>
      </c>
      <c r="B80" s="511">
        <f>9.97</f>
        <v>9.9700000000000006</v>
      </c>
      <c r="C80" s="3"/>
      <c r="D80" s="511">
        <f t="shared" si="69"/>
        <v>9.9700000000000006</v>
      </c>
      <c r="E80" s="512" t="str">
        <f t="shared" si="70"/>
        <v/>
      </c>
      <c r="F80" s="511">
        <f>517.78</f>
        <v>517.78</v>
      </c>
      <c r="G80" s="511">
        <f>1160</f>
        <v>1160</v>
      </c>
      <c r="H80" s="511">
        <f t="shared" si="71"/>
        <v>-642.22</v>
      </c>
      <c r="I80" s="512">
        <f t="shared" si="72"/>
        <v>0.44636206896551722</v>
      </c>
      <c r="J80" s="511">
        <f>447.81</f>
        <v>447.81</v>
      </c>
      <c r="K80" s="511">
        <f>136.8</f>
        <v>136.80000000000001</v>
      </c>
      <c r="L80" s="511">
        <f t="shared" si="73"/>
        <v>311.01</v>
      </c>
      <c r="M80" s="512">
        <f t="shared" si="74"/>
        <v>3.2734649122807014</v>
      </c>
      <c r="N80" s="3"/>
      <c r="O80" s="3"/>
      <c r="P80" s="511">
        <f t="shared" si="75"/>
        <v>0</v>
      </c>
      <c r="Q80" s="512" t="str">
        <f t="shared" si="76"/>
        <v/>
      </c>
      <c r="R80" s="511">
        <f>10.56</f>
        <v>10.56</v>
      </c>
      <c r="S80" s="3"/>
      <c r="T80" s="511">
        <f t="shared" si="77"/>
        <v>10.56</v>
      </c>
      <c r="U80" s="512" t="str">
        <f t="shared" si="78"/>
        <v/>
      </c>
      <c r="V80" s="511">
        <f>130</f>
        <v>130</v>
      </c>
      <c r="W80" s="3"/>
      <c r="X80" s="511">
        <f t="shared" si="79"/>
        <v>130</v>
      </c>
      <c r="Y80" s="512" t="str">
        <f t="shared" si="80"/>
        <v/>
      </c>
      <c r="Z80" s="3"/>
      <c r="AA80" s="3"/>
      <c r="AB80" s="511">
        <f t="shared" si="81"/>
        <v>0</v>
      </c>
      <c r="AC80" s="512" t="str">
        <f t="shared" si="82"/>
        <v/>
      </c>
      <c r="AD80" s="3"/>
      <c r="AE80" s="3"/>
      <c r="AF80" s="511">
        <f t="shared" si="83"/>
        <v>0</v>
      </c>
      <c r="AG80" s="512" t="str">
        <f t="shared" si="84"/>
        <v/>
      </c>
      <c r="AH80" s="3"/>
      <c r="AI80" s="3"/>
      <c r="AJ80" s="511">
        <f t="shared" si="85"/>
        <v>0</v>
      </c>
      <c r="AK80" s="512" t="str">
        <f t="shared" si="86"/>
        <v/>
      </c>
      <c r="AL80" s="3"/>
      <c r="AM80" s="3"/>
      <c r="AN80" s="511">
        <f t="shared" si="87"/>
        <v>0</v>
      </c>
      <c r="AO80" s="512" t="str">
        <f t="shared" si="88"/>
        <v/>
      </c>
      <c r="AP80" s="3"/>
      <c r="AQ80" s="3"/>
      <c r="AR80" s="511">
        <f t="shared" si="89"/>
        <v>0</v>
      </c>
      <c r="AS80" s="512" t="str">
        <f t="shared" si="90"/>
        <v/>
      </c>
      <c r="AT80" s="3"/>
      <c r="AU80" s="3"/>
      <c r="AV80" s="511">
        <f t="shared" si="91"/>
        <v>0</v>
      </c>
      <c r="AW80" s="512" t="str">
        <f t="shared" si="92"/>
        <v/>
      </c>
      <c r="AX80" s="511">
        <f t="shared" si="138"/>
        <v>130</v>
      </c>
      <c r="AY80" s="511">
        <f t="shared" si="138"/>
        <v>0</v>
      </c>
      <c r="AZ80" s="511">
        <f t="shared" si="94"/>
        <v>130</v>
      </c>
      <c r="BA80" s="512" t="str">
        <f t="shared" si="95"/>
        <v/>
      </c>
      <c r="BB80" s="3"/>
      <c r="BC80" s="3"/>
      <c r="BD80" s="511">
        <f t="shared" si="96"/>
        <v>0</v>
      </c>
      <c r="BE80" s="512" t="str">
        <f t="shared" si="97"/>
        <v/>
      </c>
      <c r="BF80" s="3"/>
      <c r="BG80" s="3"/>
      <c r="BH80" s="511">
        <f t="shared" si="98"/>
        <v>0</v>
      </c>
      <c r="BI80" s="512" t="str">
        <f t="shared" si="99"/>
        <v/>
      </c>
      <c r="BJ80" s="511">
        <f>28.87</f>
        <v>28.87</v>
      </c>
      <c r="BK80" s="3"/>
      <c r="BL80" s="511">
        <f t="shared" si="100"/>
        <v>28.87</v>
      </c>
      <c r="BM80" s="512" t="str">
        <f t="shared" si="101"/>
        <v/>
      </c>
      <c r="BN80" s="3"/>
      <c r="BO80" s="3"/>
      <c r="BP80" s="511">
        <f t="shared" si="102"/>
        <v>0</v>
      </c>
      <c r="BQ80" s="512" t="str">
        <f t="shared" si="103"/>
        <v/>
      </c>
      <c r="BR80" s="511">
        <f t="shared" si="139"/>
        <v>28.87</v>
      </c>
      <c r="BS80" s="511">
        <f t="shared" si="139"/>
        <v>0</v>
      </c>
      <c r="BT80" s="511">
        <f t="shared" si="105"/>
        <v>28.87</v>
      </c>
      <c r="BU80" s="512" t="str">
        <f t="shared" si="106"/>
        <v/>
      </c>
      <c r="BV80" s="511">
        <f>25</f>
        <v>25</v>
      </c>
      <c r="BW80" s="3"/>
      <c r="BX80" s="511">
        <f t="shared" si="107"/>
        <v>25</v>
      </c>
      <c r="BY80" s="512" t="str">
        <f t="shared" si="108"/>
        <v/>
      </c>
      <c r="BZ80" s="511">
        <f>6.04</f>
        <v>6.04</v>
      </c>
      <c r="CA80" s="3"/>
      <c r="CB80" s="511">
        <f t="shared" si="109"/>
        <v>6.04</v>
      </c>
      <c r="CC80" s="512" t="str">
        <f t="shared" si="110"/>
        <v/>
      </c>
      <c r="CD80" s="3"/>
      <c r="CE80" s="3"/>
      <c r="CF80" s="511">
        <f t="shared" si="111"/>
        <v>0</v>
      </c>
      <c r="CG80" s="512" t="str">
        <f t="shared" si="112"/>
        <v/>
      </c>
      <c r="CH80" s="3"/>
      <c r="CI80" s="3"/>
      <c r="CJ80" s="511">
        <f t="shared" si="113"/>
        <v>0</v>
      </c>
      <c r="CK80" s="512" t="str">
        <f t="shared" si="114"/>
        <v/>
      </c>
      <c r="CL80" s="511">
        <f t="shared" si="140"/>
        <v>0</v>
      </c>
      <c r="CM80" s="511">
        <f t="shared" si="140"/>
        <v>0</v>
      </c>
      <c r="CN80" s="511">
        <f t="shared" si="116"/>
        <v>0</v>
      </c>
      <c r="CO80" s="512" t="str">
        <f t="shared" si="117"/>
        <v/>
      </c>
      <c r="CP80" s="3"/>
      <c r="CQ80" s="3"/>
      <c r="CR80" s="511">
        <f t="shared" si="118"/>
        <v>0</v>
      </c>
      <c r="CS80" s="512" t="str">
        <f t="shared" si="119"/>
        <v/>
      </c>
      <c r="CT80" s="511">
        <f>35.75</f>
        <v>35.75</v>
      </c>
      <c r="CU80" s="511">
        <f>792</f>
        <v>792</v>
      </c>
      <c r="CV80" s="511">
        <f t="shared" si="120"/>
        <v>-756.25</v>
      </c>
      <c r="CW80" s="512">
        <f t="shared" si="121"/>
        <v>4.5138888888888888E-2</v>
      </c>
      <c r="CX80" s="511">
        <f t="shared" si="141"/>
        <v>35.75</v>
      </c>
      <c r="CY80" s="511">
        <f t="shared" si="141"/>
        <v>792</v>
      </c>
      <c r="CZ80" s="511">
        <f t="shared" si="123"/>
        <v>-756.25</v>
      </c>
      <c r="DA80" s="512">
        <f t="shared" si="124"/>
        <v>4.5138888888888888E-2</v>
      </c>
      <c r="DB80" s="511">
        <f>10</f>
        <v>10</v>
      </c>
      <c r="DC80" s="3"/>
      <c r="DD80" s="511">
        <f t="shared" si="125"/>
        <v>10</v>
      </c>
      <c r="DE80" s="512" t="str">
        <f t="shared" si="126"/>
        <v/>
      </c>
      <c r="DF80" s="3"/>
      <c r="DG80" s="3"/>
      <c r="DH80" s="511">
        <f t="shared" si="127"/>
        <v>0</v>
      </c>
      <c r="DI80" s="512" t="str">
        <f t="shared" si="128"/>
        <v/>
      </c>
      <c r="DJ80" s="511">
        <f t="shared" si="142"/>
        <v>10</v>
      </c>
      <c r="DK80" s="511">
        <f t="shared" si="142"/>
        <v>0</v>
      </c>
      <c r="DL80" s="511">
        <f t="shared" si="130"/>
        <v>10</v>
      </c>
      <c r="DM80" s="512" t="str">
        <f t="shared" si="131"/>
        <v/>
      </c>
      <c r="DN80" s="3"/>
      <c r="DO80" s="3"/>
      <c r="DP80" s="511">
        <f t="shared" si="132"/>
        <v>0</v>
      </c>
      <c r="DQ80" s="512" t="str">
        <f t="shared" si="133"/>
        <v/>
      </c>
      <c r="DR80" s="511">
        <f t="shared" si="143"/>
        <v>1221.7799999999997</v>
      </c>
      <c r="DS80" s="511">
        <f t="shared" si="144"/>
        <v>2088.8000000000002</v>
      </c>
      <c r="DT80" s="511">
        <f t="shared" si="136"/>
        <v>-867.02000000000044</v>
      </c>
      <c r="DU80" s="512">
        <f t="shared" si="137"/>
        <v>0.58491957104557624</v>
      </c>
    </row>
    <row r="81" spans="1:125" x14ac:dyDescent="0.25">
      <c r="A81" s="2" t="s">
        <v>89</v>
      </c>
      <c r="B81" s="511">
        <f>1426.14</f>
        <v>1426.14</v>
      </c>
      <c r="C81" s="3"/>
      <c r="D81" s="511">
        <f t="shared" si="69"/>
        <v>1426.14</v>
      </c>
      <c r="E81" s="512" t="str">
        <f t="shared" si="70"/>
        <v/>
      </c>
      <c r="F81" s="511">
        <f>2811.06</f>
        <v>2811.06</v>
      </c>
      <c r="G81" s="3"/>
      <c r="H81" s="511">
        <f t="shared" si="71"/>
        <v>2811.06</v>
      </c>
      <c r="I81" s="512" t="str">
        <f t="shared" si="72"/>
        <v/>
      </c>
      <c r="J81" s="511">
        <f>5421.96</f>
        <v>5421.96</v>
      </c>
      <c r="K81" s="511">
        <f>6196</f>
        <v>6196</v>
      </c>
      <c r="L81" s="511">
        <f t="shared" si="73"/>
        <v>-774.04</v>
      </c>
      <c r="M81" s="512">
        <f t="shared" si="74"/>
        <v>0.87507424144609425</v>
      </c>
      <c r="N81" s="511">
        <f>100</f>
        <v>100</v>
      </c>
      <c r="O81" s="3"/>
      <c r="P81" s="511">
        <f t="shared" si="75"/>
        <v>100</v>
      </c>
      <c r="Q81" s="512" t="str">
        <f t="shared" si="76"/>
        <v/>
      </c>
      <c r="R81" s="511">
        <f>891.24</f>
        <v>891.24</v>
      </c>
      <c r="S81" s="3"/>
      <c r="T81" s="511">
        <f t="shared" si="77"/>
        <v>891.24</v>
      </c>
      <c r="U81" s="512" t="str">
        <f t="shared" si="78"/>
        <v/>
      </c>
      <c r="V81" s="511">
        <f>9472.19</f>
        <v>9472.19</v>
      </c>
      <c r="W81" s="3"/>
      <c r="X81" s="511">
        <f t="shared" si="79"/>
        <v>9472.19</v>
      </c>
      <c r="Y81" s="512" t="str">
        <f t="shared" si="80"/>
        <v/>
      </c>
      <c r="Z81" s="3"/>
      <c r="AA81" s="3"/>
      <c r="AB81" s="511">
        <f t="shared" si="81"/>
        <v>0</v>
      </c>
      <c r="AC81" s="512" t="str">
        <f t="shared" si="82"/>
        <v/>
      </c>
      <c r="AD81" s="3"/>
      <c r="AE81" s="3"/>
      <c r="AF81" s="511">
        <f t="shared" si="83"/>
        <v>0</v>
      </c>
      <c r="AG81" s="512" t="str">
        <f t="shared" si="84"/>
        <v/>
      </c>
      <c r="AH81" s="3"/>
      <c r="AI81" s="3"/>
      <c r="AJ81" s="511">
        <f t="shared" si="85"/>
        <v>0</v>
      </c>
      <c r="AK81" s="512" t="str">
        <f t="shared" si="86"/>
        <v/>
      </c>
      <c r="AL81" s="3"/>
      <c r="AM81" s="3"/>
      <c r="AN81" s="511">
        <f t="shared" si="87"/>
        <v>0</v>
      </c>
      <c r="AO81" s="512" t="str">
        <f t="shared" si="88"/>
        <v/>
      </c>
      <c r="AP81" s="3"/>
      <c r="AQ81" s="3"/>
      <c r="AR81" s="511">
        <f t="shared" si="89"/>
        <v>0</v>
      </c>
      <c r="AS81" s="512" t="str">
        <f t="shared" si="90"/>
        <v/>
      </c>
      <c r="AT81" s="3"/>
      <c r="AU81" s="3"/>
      <c r="AV81" s="511">
        <f t="shared" si="91"/>
        <v>0</v>
      </c>
      <c r="AW81" s="512" t="str">
        <f t="shared" si="92"/>
        <v/>
      </c>
      <c r="AX81" s="511">
        <f t="shared" si="138"/>
        <v>9472.19</v>
      </c>
      <c r="AY81" s="511">
        <f t="shared" si="138"/>
        <v>0</v>
      </c>
      <c r="AZ81" s="511">
        <f t="shared" si="94"/>
        <v>9472.19</v>
      </c>
      <c r="BA81" s="512" t="str">
        <f t="shared" si="95"/>
        <v/>
      </c>
      <c r="BB81" s="511">
        <f>622.81</f>
        <v>622.80999999999995</v>
      </c>
      <c r="BC81" s="511">
        <f>1852.5</f>
        <v>1852.5</v>
      </c>
      <c r="BD81" s="511">
        <f t="shared" si="96"/>
        <v>-1229.69</v>
      </c>
      <c r="BE81" s="512">
        <f t="shared" si="97"/>
        <v>0.33619973009446691</v>
      </c>
      <c r="BF81" s="3"/>
      <c r="BG81" s="3"/>
      <c r="BH81" s="511">
        <f t="shared" si="98"/>
        <v>0</v>
      </c>
      <c r="BI81" s="512" t="str">
        <f t="shared" si="99"/>
        <v/>
      </c>
      <c r="BJ81" s="511">
        <f>19.98</f>
        <v>19.98</v>
      </c>
      <c r="BK81" s="3"/>
      <c r="BL81" s="511">
        <f t="shared" si="100"/>
        <v>19.98</v>
      </c>
      <c r="BM81" s="512" t="str">
        <f t="shared" si="101"/>
        <v/>
      </c>
      <c r="BN81" s="3"/>
      <c r="BO81" s="3"/>
      <c r="BP81" s="511">
        <f t="shared" si="102"/>
        <v>0</v>
      </c>
      <c r="BQ81" s="512" t="str">
        <f t="shared" si="103"/>
        <v/>
      </c>
      <c r="BR81" s="511">
        <f t="shared" si="139"/>
        <v>642.79</v>
      </c>
      <c r="BS81" s="511">
        <f t="shared" si="139"/>
        <v>1852.5</v>
      </c>
      <c r="BT81" s="511">
        <f t="shared" si="105"/>
        <v>-1209.71</v>
      </c>
      <c r="BU81" s="512">
        <f t="shared" si="106"/>
        <v>0.34698515519568152</v>
      </c>
      <c r="BV81" s="511">
        <f>6336.77</f>
        <v>6336.77</v>
      </c>
      <c r="BW81" s="3"/>
      <c r="BX81" s="511">
        <f t="shared" si="107"/>
        <v>6336.77</v>
      </c>
      <c r="BY81" s="512" t="str">
        <f t="shared" si="108"/>
        <v/>
      </c>
      <c r="BZ81" s="511">
        <f>3915.37</f>
        <v>3915.37</v>
      </c>
      <c r="CA81" s="3"/>
      <c r="CB81" s="511">
        <f t="shared" si="109"/>
        <v>3915.37</v>
      </c>
      <c r="CC81" s="512" t="str">
        <f t="shared" si="110"/>
        <v/>
      </c>
      <c r="CD81" s="511">
        <f>544.76</f>
        <v>544.76</v>
      </c>
      <c r="CE81" s="3"/>
      <c r="CF81" s="511">
        <f t="shared" si="111"/>
        <v>544.76</v>
      </c>
      <c r="CG81" s="512" t="str">
        <f t="shared" si="112"/>
        <v/>
      </c>
      <c r="CH81" s="3"/>
      <c r="CI81" s="3"/>
      <c r="CJ81" s="511">
        <f t="shared" si="113"/>
        <v>0</v>
      </c>
      <c r="CK81" s="512" t="str">
        <f t="shared" si="114"/>
        <v/>
      </c>
      <c r="CL81" s="511">
        <f t="shared" si="140"/>
        <v>544.76</v>
      </c>
      <c r="CM81" s="511">
        <f t="shared" si="140"/>
        <v>0</v>
      </c>
      <c r="CN81" s="511">
        <f t="shared" si="116"/>
        <v>544.76</v>
      </c>
      <c r="CO81" s="512" t="str">
        <f t="shared" si="117"/>
        <v/>
      </c>
      <c r="CP81" s="511">
        <f>92.04</f>
        <v>92.04</v>
      </c>
      <c r="CQ81" s="3"/>
      <c r="CR81" s="511">
        <f t="shared" si="118"/>
        <v>92.04</v>
      </c>
      <c r="CS81" s="512" t="str">
        <f t="shared" si="119"/>
        <v/>
      </c>
      <c r="CT81" s="511">
        <f>223.72</f>
        <v>223.72</v>
      </c>
      <c r="CU81" s="3"/>
      <c r="CV81" s="511">
        <f t="shared" si="120"/>
        <v>223.72</v>
      </c>
      <c r="CW81" s="512" t="str">
        <f t="shared" si="121"/>
        <v/>
      </c>
      <c r="CX81" s="511">
        <f t="shared" si="141"/>
        <v>315.76</v>
      </c>
      <c r="CY81" s="511">
        <f t="shared" si="141"/>
        <v>0</v>
      </c>
      <c r="CZ81" s="511">
        <f t="shared" si="123"/>
        <v>315.76</v>
      </c>
      <c r="DA81" s="512" t="str">
        <f t="shared" si="124"/>
        <v/>
      </c>
      <c r="DB81" s="511">
        <f>35.55</f>
        <v>35.549999999999997</v>
      </c>
      <c r="DC81" s="3"/>
      <c r="DD81" s="511">
        <f t="shared" si="125"/>
        <v>35.549999999999997</v>
      </c>
      <c r="DE81" s="512" t="str">
        <f t="shared" si="126"/>
        <v/>
      </c>
      <c r="DF81" s="3"/>
      <c r="DG81" s="3"/>
      <c r="DH81" s="511">
        <f t="shared" si="127"/>
        <v>0</v>
      </c>
      <c r="DI81" s="512" t="str">
        <f t="shared" si="128"/>
        <v/>
      </c>
      <c r="DJ81" s="511">
        <f t="shared" si="142"/>
        <v>35.549999999999997</v>
      </c>
      <c r="DK81" s="511">
        <f t="shared" si="142"/>
        <v>0</v>
      </c>
      <c r="DL81" s="511">
        <f t="shared" si="130"/>
        <v>35.549999999999997</v>
      </c>
      <c r="DM81" s="512" t="str">
        <f t="shared" si="131"/>
        <v/>
      </c>
      <c r="DN81" s="3"/>
      <c r="DO81" s="3"/>
      <c r="DP81" s="511">
        <f t="shared" si="132"/>
        <v>0</v>
      </c>
      <c r="DQ81" s="512" t="str">
        <f t="shared" si="133"/>
        <v/>
      </c>
      <c r="DR81" s="511">
        <f t="shared" si="143"/>
        <v>31913.589999999997</v>
      </c>
      <c r="DS81" s="511">
        <f t="shared" si="144"/>
        <v>8048.5</v>
      </c>
      <c r="DT81" s="511">
        <f t="shared" si="136"/>
        <v>23865.089999999997</v>
      </c>
      <c r="DU81" s="512">
        <f t="shared" si="137"/>
        <v>3.9651599676958433</v>
      </c>
    </row>
    <row r="82" spans="1:125" x14ac:dyDescent="0.25">
      <c r="A82" s="2" t="s">
        <v>891</v>
      </c>
      <c r="B82" s="513">
        <f>((((B77)+(B78))+(B79))+(B80))+(B81)</f>
        <v>1562.8600000000001</v>
      </c>
      <c r="C82" s="513">
        <f>((((C77)+(C78))+(C79))+(C80))+(C81)</f>
        <v>0</v>
      </c>
      <c r="D82" s="513">
        <f t="shared" si="69"/>
        <v>1562.8600000000001</v>
      </c>
      <c r="E82" s="514" t="str">
        <f t="shared" si="70"/>
        <v/>
      </c>
      <c r="F82" s="513">
        <f>((((F77)+(F78))+(F79))+(F80))+(F81)</f>
        <v>3328.84</v>
      </c>
      <c r="G82" s="513">
        <f>((((G77)+(G78))+(G79))+(G80))+(G81)</f>
        <v>2260</v>
      </c>
      <c r="H82" s="513">
        <f t="shared" si="71"/>
        <v>1068.8400000000001</v>
      </c>
      <c r="I82" s="514">
        <f t="shared" si="72"/>
        <v>1.4729380530973453</v>
      </c>
      <c r="J82" s="513">
        <f>((((J77)+(J78))+(J79))+(J80))+(J81)</f>
        <v>6045.02</v>
      </c>
      <c r="K82" s="513">
        <f>((((K77)+(K78))+(K79))+(K80))+(K81)</f>
        <v>6332.8</v>
      </c>
      <c r="L82" s="513">
        <f t="shared" si="73"/>
        <v>-287.77999999999975</v>
      </c>
      <c r="M82" s="514">
        <f t="shared" si="74"/>
        <v>0.95455722587165237</v>
      </c>
      <c r="N82" s="513">
        <f>((((N77)+(N78))+(N79))+(N80))+(N81)</f>
        <v>559.5</v>
      </c>
      <c r="O82" s="513">
        <f>((((O77)+(O78))+(O79))+(O80))+(O81)</f>
        <v>0</v>
      </c>
      <c r="P82" s="513">
        <f t="shared" si="75"/>
        <v>559.5</v>
      </c>
      <c r="Q82" s="514" t="str">
        <f t="shared" si="76"/>
        <v/>
      </c>
      <c r="R82" s="513">
        <f>((((R77)+(R78))+(R79))+(R80))+(R81)</f>
        <v>981.6</v>
      </c>
      <c r="S82" s="513">
        <f>((((S77)+(S78))+(S79))+(S80))+(S81)</f>
        <v>0</v>
      </c>
      <c r="T82" s="513">
        <f t="shared" si="77"/>
        <v>981.6</v>
      </c>
      <c r="U82" s="514" t="str">
        <f t="shared" si="78"/>
        <v/>
      </c>
      <c r="V82" s="513">
        <f>((((V77)+(V78))+(V79))+(V80))+(V81)</f>
        <v>10056.43</v>
      </c>
      <c r="W82" s="513">
        <f>((((W77)+(W78))+(W79))+(W80))+(W81)</f>
        <v>0</v>
      </c>
      <c r="X82" s="513">
        <f t="shared" si="79"/>
        <v>10056.43</v>
      </c>
      <c r="Y82" s="514" t="str">
        <f t="shared" si="80"/>
        <v/>
      </c>
      <c r="Z82" s="513">
        <f>((((Z77)+(Z78))+(Z79))+(Z80))+(Z81)</f>
        <v>0</v>
      </c>
      <c r="AA82" s="513">
        <f>((((AA77)+(AA78))+(AA79))+(AA80))+(AA81)</f>
        <v>0</v>
      </c>
      <c r="AB82" s="513">
        <f t="shared" si="81"/>
        <v>0</v>
      </c>
      <c r="AC82" s="514" t="str">
        <f t="shared" si="82"/>
        <v/>
      </c>
      <c r="AD82" s="513">
        <f>((((AD77)+(AD78))+(AD79))+(AD80))+(AD81)</f>
        <v>0</v>
      </c>
      <c r="AE82" s="513">
        <f>((((AE77)+(AE78))+(AE79))+(AE80))+(AE81)</f>
        <v>0</v>
      </c>
      <c r="AF82" s="513">
        <f t="shared" si="83"/>
        <v>0</v>
      </c>
      <c r="AG82" s="514" t="str">
        <f t="shared" si="84"/>
        <v/>
      </c>
      <c r="AH82" s="513">
        <f>((((AH77)+(AH78))+(AH79))+(AH80))+(AH81)</f>
        <v>0</v>
      </c>
      <c r="AI82" s="513">
        <f>((((AI77)+(AI78))+(AI79))+(AI80))+(AI81)</f>
        <v>0</v>
      </c>
      <c r="AJ82" s="513">
        <f t="shared" si="85"/>
        <v>0</v>
      </c>
      <c r="AK82" s="514" t="str">
        <f t="shared" si="86"/>
        <v/>
      </c>
      <c r="AL82" s="513">
        <f>((((AL77)+(AL78))+(AL79))+(AL80))+(AL81)</f>
        <v>0</v>
      </c>
      <c r="AM82" s="513">
        <f>((((AM77)+(AM78))+(AM79))+(AM80))+(AM81)</f>
        <v>0</v>
      </c>
      <c r="AN82" s="513">
        <f t="shared" si="87"/>
        <v>0</v>
      </c>
      <c r="AO82" s="514" t="str">
        <f t="shared" si="88"/>
        <v/>
      </c>
      <c r="AP82" s="513">
        <f>((((AP77)+(AP78))+(AP79))+(AP80))+(AP81)</f>
        <v>0</v>
      </c>
      <c r="AQ82" s="513">
        <f>((((AQ77)+(AQ78))+(AQ79))+(AQ80))+(AQ81)</f>
        <v>0</v>
      </c>
      <c r="AR82" s="513">
        <f t="shared" si="89"/>
        <v>0</v>
      </c>
      <c r="AS82" s="514" t="str">
        <f t="shared" si="90"/>
        <v/>
      </c>
      <c r="AT82" s="513">
        <f>((((AT77)+(AT78))+(AT79))+(AT80))+(AT81)</f>
        <v>0</v>
      </c>
      <c r="AU82" s="513">
        <f>((((AU77)+(AU78))+(AU79))+(AU80))+(AU81)</f>
        <v>0</v>
      </c>
      <c r="AV82" s="513">
        <f t="shared" si="91"/>
        <v>0</v>
      </c>
      <c r="AW82" s="514" t="str">
        <f t="shared" si="92"/>
        <v/>
      </c>
      <c r="AX82" s="513">
        <f t="shared" si="138"/>
        <v>10056.43</v>
      </c>
      <c r="AY82" s="513">
        <f t="shared" si="138"/>
        <v>0</v>
      </c>
      <c r="AZ82" s="513">
        <f t="shared" si="94"/>
        <v>10056.43</v>
      </c>
      <c r="BA82" s="514" t="str">
        <f t="shared" si="95"/>
        <v/>
      </c>
      <c r="BB82" s="513">
        <f>((((BB77)+(BB78))+(BB79))+(BB80))+(BB81)</f>
        <v>809.74</v>
      </c>
      <c r="BC82" s="513">
        <f>((((BC77)+(BC78))+(BC79))+(BC80))+(BC81)</f>
        <v>1852.5</v>
      </c>
      <c r="BD82" s="513">
        <f t="shared" si="96"/>
        <v>-1042.76</v>
      </c>
      <c r="BE82" s="514">
        <f t="shared" si="97"/>
        <v>0.43710661268556006</v>
      </c>
      <c r="BF82" s="513">
        <f>((((BF77)+(BF78))+(BF79))+(BF80))+(BF81)</f>
        <v>0</v>
      </c>
      <c r="BG82" s="513">
        <f>((((BG77)+(BG78))+(BG79))+(BG80))+(BG81)</f>
        <v>0</v>
      </c>
      <c r="BH82" s="513">
        <f t="shared" si="98"/>
        <v>0</v>
      </c>
      <c r="BI82" s="514" t="str">
        <f t="shared" si="99"/>
        <v/>
      </c>
      <c r="BJ82" s="513">
        <f>((((BJ77)+(BJ78))+(BJ79))+(BJ80))+(BJ81)</f>
        <v>48.85</v>
      </c>
      <c r="BK82" s="513">
        <f>((((BK77)+(BK78))+(BK79))+(BK80))+(BK81)</f>
        <v>0</v>
      </c>
      <c r="BL82" s="513">
        <f t="shared" si="100"/>
        <v>48.85</v>
      </c>
      <c r="BM82" s="514" t="str">
        <f t="shared" si="101"/>
        <v/>
      </c>
      <c r="BN82" s="513">
        <f>((((BN77)+(BN78))+(BN79))+(BN80))+(BN81)</f>
        <v>0</v>
      </c>
      <c r="BO82" s="513">
        <f>((((BO77)+(BO78))+(BO79))+(BO80))+(BO81)</f>
        <v>0</v>
      </c>
      <c r="BP82" s="513">
        <f t="shared" si="102"/>
        <v>0</v>
      </c>
      <c r="BQ82" s="514" t="str">
        <f t="shared" si="103"/>
        <v/>
      </c>
      <c r="BR82" s="513">
        <f t="shared" si="139"/>
        <v>858.59</v>
      </c>
      <c r="BS82" s="513">
        <f t="shared" si="139"/>
        <v>1852.5</v>
      </c>
      <c r="BT82" s="513">
        <f t="shared" si="105"/>
        <v>-993.91</v>
      </c>
      <c r="BU82" s="514">
        <f t="shared" si="106"/>
        <v>0.46347638326585699</v>
      </c>
      <c r="BV82" s="513">
        <f>((((BV77)+(BV78))+(BV79))+(BV80))+(BV81)</f>
        <v>8793.64</v>
      </c>
      <c r="BW82" s="513">
        <f>((((BW77)+(BW78))+(BW79))+(BW80))+(BW81)</f>
        <v>1250.8599999999999</v>
      </c>
      <c r="BX82" s="513">
        <f t="shared" si="107"/>
        <v>7542.78</v>
      </c>
      <c r="BY82" s="514">
        <f t="shared" si="108"/>
        <v>7.0300753081879668</v>
      </c>
      <c r="BZ82" s="513">
        <f>((((BZ77)+(BZ78))+(BZ79))+(BZ80))+(BZ81)</f>
        <v>3932.0099999999998</v>
      </c>
      <c r="CA82" s="513">
        <f>((((CA77)+(CA78))+(CA79))+(CA80))+(CA81)</f>
        <v>0</v>
      </c>
      <c r="CB82" s="513">
        <f t="shared" si="109"/>
        <v>3932.0099999999998</v>
      </c>
      <c r="CC82" s="514" t="str">
        <f t="shared" si="110"/>
        <v/>
      </c>
      <c r="CD82" s="513">
        <f>((((CD77)+(CD78))+(CD79))+(CD80))+(CD81)</f>
        <v>1260.46</v>
      </c>
      <c r="CE82" s="513">
        <f>((((CE77)+(CE78))+(CE79))+(CE80))+(CE81)</f>
        <v>0</v>
      </c>
      <c r="CF82" s="513">
        <f t="shared" si="111"/>
        <v>1260.46</v>
      </c>
      <c r="CG82" s="514" t="str">
        <f t="shared" si="112"/>
        <v/>
      </c>
      <c r="CH82" s="513">
        <f>((((CH77)+(CH78))+(CH79))+(CH80))+(CH81)</f>
        <v>204.82</v>
      </c>
      <c r="CI82" s="513">
        <f>((((CI77)+(CI78))+(CI79))+(CI80))+(CI81)</f>
        <v>0</v>
      </c>
      <c r="CJ82" s="513">
        <f t="shared" si="113"/>
        <v>204.82</v>
      </c>
      <c r="CK82" s="514" t="str">
        <f t="shared" si="114"/>
        <v/>
      </c>
      <c r="CL82" s="513">
        <f t="shared" si="140"/>
        <v>1465.28</v>
      </c>
      <c r="CM82" s="513">
        <f t="shared" si="140"/>
        <v>0</v>
      </c>
      <c r="CN82" s="513">
        <f t="shared" si="116"/>
        <v>1465.28</v>
      </c>
      <c r="CO82" s="514" t="str">
        <f t="shared" si="117"/>
        <v/>
      </c>
      <c r="CP82" s="513">
        <f>((((CP77)+(CP78))+(CP79))+(CP80))+(CP81)</f>
        <v>293.11</v>
      </c>
      <c r="CQ82" s="513">
        <f>((((CQ77)+(CQ78))+(CQ79))+(CQ80))+(CQ81)</f>
        <v>0</v>
      </c>
      <c r="CR82" s="513">
        <f t="shared" si="118"/>
        <v>293.11</v>
      </c>
      <c r="CS82" s="514" t="str">
        <f t="shared" si="119"/>
        <v/>
      </c>
      <c r="CT82" s="513">
        <f>((((CT77)+(CT78))+(CT79))+(CT80))+(CT81)</f>
        <v>641.43000000000006</v>
      </c>
      <c r="CU82" s="513">
        <f>((((CU77)+(CU78))+(CU79))+(CU80))+(CU81)</f>
        <v>792</v>
      </c>
      <c r="CV82" s="513">
        <f t="shared" si="120"/>
        <v>-150.56999999999994</v>
      </c>
      <c r="CW82" s="514">
        <f t="shared" si="121"/>
        <v>0.80988636363636368</v>
      </c>
      <c r="CX82" s="513">
        <f t="shared" si="141"/>
        <v>934.54000000000008</v>
      </c>
      <c r="CY82" s="513">
        <f t="shared" si="141"/>
        <v>792</v>
      </c>
      <c r="CZ82" s="513">
        <f t="shared" si="123"/>
        <v>142.54000000000008</v>
      </c>
      <c r="DA82" s="514">
        <f t="shared" si="124"/>
        <v>1.1799747474747475</v>
      </c>
      <c r="DB82" s="513">
        <f>((((DB77)+(DB78))+(DB79))+(DB80))+(DB81)</f>
        <v>45.55</v>
      </c>
      <c r="DC82" s="513">
        <f>((((DC77)+(DC78))+(DC79))+(DC80))+(DC81)</f>
        <v>0</v>
      </c>
      <c r="DD82" s="513">
        <f t="shared" si="125"/>
        <v>45.55</v>
      </c>
      <c r="DE82" s="514" t="str">
        <f t="shared" si="126"/>
        <v/>
      </c>
      <c r="DF82" s="513">
        <f>((((DF77)+(DF78))+(DF79))+(DF80))+(DF81)</f>
        <v>0</v>
      </c>
      <c r="DG82" s="513">
        <f>((((DG77)+(DG78))+(DG79))+(DG80))+(DG81)</f>
        <v>0</v>
      </c>
      <c r="DH82" s="513">
        <f t="shared" si="127"/>
        <v>0</v>
      </c>
      <c r="DI82" s="514" t="str">
        <f t="shared" si="128"/>
        <v/>
      </c>
      <c r="DJ82" s="513">
        <f t="shared" si="142"/>
        <v>45.55</v>
      </c>
      <c r="DK82" s="513">
        <f t="shared" si="142"/>
        <v>0</v>
      </c>
      <c r="DL82" s="513">
        <f t="shared" si="130"/>
        <v>45.55</v>
      </c>
      <c r="DM82" s="514" t="str">
        <f t="shared" si="131"/>
        <v/>
      </c>
      <c r="DN82" s="513">
        <f>((((DN77)+(DN78))+(DN79))+(DN80))+(DN81)</f>
        <v>0</v>
      </c>
      <c r="DO82" s="513">
        <f>((((DO77)+(DO78))+(DO79))+(DO80))+(DO81)</f>
        <v>0</v>
      </c>
      <c r="DP82" s="513">
        <f t="shared" si="132"/>
        <v>0</v>
      </c>
      <c r="DQ82" s="514" t="str">
        <f t="shared" si="133"/>
        <v/>
      </c>
      <c r="DR82" s="513">
        <f t="shared" si="143"/>
        <v>38563.86</v>
      </c>
      <c r="DS82" s="513">
        <f t="shared" si="144"/>
        <v>12488.16</v>
      </c>
      <c r="DT82" s="513">
        <f t="shared" si="136"/>
        <v>26075.7</v>
      </c>
      <c r="DU82" s="514">
        <f t="shared" si="137"/>
        <v>3.0880337856017221</v>
      </c>
    </row>
    <row r="83" spans="1:125" x14ac:dyDescent="0.25">
      <c r="A83" s="2" t="s">
        <v>91</v>
      </c>
      <c r="B83" s="511">
        <f>105.74</f>
        <v>105.74</v>
      </c>
      <c r="C83" s="3"/>
      <c r="D83" s="511">
        <f t="shared" si="69"/>
        <v>105.74</v>
      </c>
      <c r="E83" s="512" t="str">
        <f t="shared" si="70"/>
        <v/>
      </c>
      <c r="F83" s="511">
        <f>6000</f>
        <v>6000</v>
      </c>
      <c r="G83" s="511">
        <f>5000</f>
        <v>5000</v>
      </c>
      <c r="H83" s="511">
        <f t="shared" si="71"/>
        <v>1000</v>
      </c>
      <c r="I83" s="512">
        <f t="shared" si="72"/>
        <v>1.2</v>
      </c>
      <c r="J83" s="511">
        <f>2474.55</f>
        <v>2474.5500000000002</v>
      </c>
      <c r="K83" s="511">
        <f>750</f>
        <v>750</v>
      </c>
      <c r="L83" s="511">
        <f t="shared" si="73"/>
        <v>1724.5500000000002</v>
      </c>
      <c r="M83" s="512">
        <f t="shared" si="74"/>
        <v>3.2994000000000003</v>
      </c>
      <c r="N83" s="3"/>
      <c r="O83" s="3"/>
      <c r="P83" s="511">
        <f t="shared" si="75"/>
        <v>0</v>
      </c>
      <c r="Q83" s="512" t="str">
        <f t="shared" si="76"/>
        <v/>
      </c>
      <c r="R83" s="511">
        <f>950.48</f>
        <v>950.48</v>
      </c>
      <c r="S83" s="3"/>
      <c r="T83" s="511">
        <f t="shared" si="77"/>
        <v>950.48</v>
      </c>
      <c r="U83" s="512" t="str">
        <f t="shared" si="78"/>
        <v/>
      </c>
      <c r="V83" s="511">
        <f>590.49</f>
        <v>590.49</v>
      </c>
      <c r="W83" s="3"/>
      <c r="X83" s="511">
        <f t="shared" si="79"/>
        <v>590.49</v>
      </c>
      <c r="Y83" s="512" t="str">
        <f t="shared" si="80"/>
        <v/>
      </c>
      <c r="Z83" s="3"/>
      <c r="AA83" s="3"/>
      <c r="AB83" s="511">
        <f t="shared" si="81"/>
        <v>0</v>
      </c>
      <c r="AC83" s="512" t="str">
        <f t="shared" si="82"/>
        <v/>
      </c>
      <c r="AD83" s="3"/>
      <c r="AE83" s="3"/>
      <c r="AF83" s="511">
        <f t="shared" si="83"/>
        <v>0</v>
      </c>
      <c r="AG83" s="512" t="str">
        <f t="shared" si="84"/>
        <v/>
      </c>
      <c r="AH83" s="3"/>
      <c r="AI83" s="3"/>
      <c r="AJ83" s="511">
        <f t="shared" si="85"/>
        <v>0</v>
      </c>
      <c r="AK83" s="512" t="str">
        <f t="shared" si="86"/>
        <v/>
      </c>
      <c r="AL83" s="511">
        <f>5797.5</f>
        <v>5797.5</v>
      </c>
      <c r="AM83" s="3"/>
      <c r="AN83" s="511">
        <f t="shared" si="87"/>
        <v>5797.5</v>
      </c>
      <c r="AO83" s="512" t="str">
        <f t="shared" si="88"/>
        <v/>
      </c>
      <c r="AP83" s="3"/>
      <c r="AQ83" s="3"/>
      <c r="AR83" s="511">
        <f t="shared" si="89"/>
        <v>0</v>
      </c>
      <c r="AS83" s="512" t="str">
        <f t="shared" si="90"/>
        <v/>
      </c>
      <c r="AT83" s="511">
        <f>9250</f>
        <v>9250</v>
      </c>
      <c r="AU83" s="3"/>
      <c r="AV83" s="511">
        <f t="shared" si="91"/>
        <v>9250</v>
      </c>
      <c r="AW83" s="512" t="str">
        <f t="shared" si="92"/>
        <v/>
      </c>
      <c r="AX83" s="511">
        <f t="shared" si="138"/>
        <v>15637.99</v>
      </c>
      <c r="AY83" s="511">
        <f t="shared" si="138"/>
        <v>0</v>
      </c>
      <c r="AZ83" s="511">
        <f t="shared" si="94"/>
        <v>15637.99</v>
      </c>
      <c r="BA83" s="512" t="str">
        <f t="shared" si="95"/>
        <v/>
      </c>
      <c r="BB83" s="511">
        <f>2044.06</f>
        <v>2044.06</v>
      </c>
      <c r="BC83" s="511">
        <f>14555.6</f>
        <v>14555.6</v>
      </c>
      <c r="BD83" s="511">
        <f t="shared" si="96"/>
        <v>-12511.54</v>
      </c>
      <c r="BE83" s="512">
        <f t="shared" si="97"/>
        <v>0.14043117425595647</v>
      </c>
      <c r="BF83" s="3"/>
      <c r="BG83" s="3"/>
      <c r="BH83" s="511">
        <f t="shared" si="98"/>
        <v>0</v>
      </c>
      <c r="BI83" s="512" t="str">
        <f t="shared" si="99"/>
        <v/>
      </c>
      <c r="BJ83" s="3"/>
      <c r="BK83" s="3"/>
      <c r="BL83" s="511">
        <f t="shared" si="100"/>
        <v>0</v>
      </c>
      <c r="BM83" s="512" t="str">
        <f t="shared" si="101"/>
        <v/>
      </c>
      <c r="BN83" s="3"/>
      <c r="BO83" s="3"/>
      <c r="BP83" s="511">
        <f t="shared" si="102"/>
        <v>0</v>
      </c>
      <c r="BQ83" s="512" t="str">
        <f t="shared" si="103"/>
        <v/>
      </c>
      <c r="BR83" s="511">
        <f t="shared" si="139"/>
        <v>2044.06</v>
      </c>
      <c r="BS83" s="511">
        <f t="shared" si="139"/>
        <v>14555.6</v>
      </c>
      <c r="BT83" s="511">
        <f t="shared" si="105"/>
        <v>-12511.54</v>
      </c>
      <c r="BU83" s="512">
        <f t="shared" si="106"/>
        <v>0.14043117425595647</v>
      </c>
      <c r="BV83" s="511">
        <f>30.84</f>
        <v>30.84</v>
      </c>
      <c r="BW83" s="3"/>
      <c r="BX83" s="511">
        <f t="shared" si="107"/>
        <v>30.84</v>
      </c>
      <c r="BY83" s="512" t="str">
        <f t="shared" si="108"/>
        <v/>
      </c>
      <c r="BZ83" s="511">
        <f>780.84</f>
        <v>780.84</v>
      </c>
      <c r="CA83" s="3"/>
      <c r="CB83" s="511">
        <f t="shared" si="109"/>
        <v>780.84</v>
      </c>
      <c r="CC83" s="512" t="str">
        <f t="shared" si="110"/>
        <v/>
      </c>
      <c r="CD83" s="511">
        <f>30.84</f>
        <v>30.84</v>
      </c>
      <c r="CE83" s="3"/>
      <c r="CF83" s="511">
        <f t="shared" si="111"/>
        <v>30.84</v>
      </c>
      <c r="CG83" s="512" t="str">
        <f t="shared" si="112"/>
        <v/>
      </c>
      <c r="CH83" s="3"/>
      <c r="CI83" s="3"/>
      <c r="CJ83" s="511">
        <f t="shared" si="113"/>
        <v>0</v>
      </c>
      <c r="CK83" s="512" t="str">
        <f t="shared" si="114"/>
        <v/>
      </c>
      <c r="CL83" s="511">
        <f t="shared" si="140"/>
        <v>30.84</v>
      </c>
      <c r="CM83" s="511">
        <f t="shared" si="140"/>
        <v>0</v>
      </c>
      <c r="CN83" s="511">
        <f t="shared" si="116"/>
        <v>30.84</v>
      </c>
      <c r="CO83" s="512" t="str">
        <f t="shared" si="117"/>
        <v/>
      </c>
      <c r="CP83" s="511">
        <f>13.22</f>
        <v>13.22</v>
      </c>
      <c r="CQ83" s="3"/>
      <c r="CR83" s="511">
        <f t="shared" si="118"/>
        <v>13.22</v>
      </c>
      <c r="CS83" s="512" t="str">
        <f t="shared" si="119"/>
        <v/>
      </c>
      <c r="CT83" s="3"/>
      <c r="CU83" s="511">
        <f>6287.5</f>
        <v>6287.5</v>
      </c>
      <c r="CV83" s="511">
        <f t="shared" si="120"/>
        <v>-6287.5</v>
      </c>
      <c r="CW83" s="512">
        <f t="shared" si="121"/>
        <v>0</v>
      </c>
      <c r="CX83" s="511">
        <f t="shared" si="141"/>
        <v>13.22</v>
      </c>
      <c r="CY83" s="511">
        <f t="shared" si="141"/>
        <v>6287.5</v>
      </c>
      <c r="CZ83" s="511">
        <f t="shared" si="123"/>
        <v>-6274.28</v>
      </c>
      <c r="DA83" s="512">
        <f t="shared" si="124"/>
        <v>2.1025844930417496E-3</v>
      </c>
      <c r="DB83" s="3"/>
      <c r="DC83" s="3"/>
      <c r="DD83" s="511">
        <f t="shared" si="125"/>
        <v>0</v>
      </c>
      <c r="DE83" s="512" t="str">
        <f t="shared" si="126"/>
        <v/>
      </c>
      <c r="DF83" s="3"/>
      <c r="DG83" s="3"/>
      <c r="DH83" s="511">
        <f t="shared" si="127"/>
        <v>0</v>
      </c>
      <c r="DI83" s="512" t="str">
        <f t="shared" si="128"/>
        <v/>
      </c>
      <c r="DJ83" s="511">
        <f t="shared" si="142"/>
        <v>0</v>
      </c>
      <c r="DK83" s="511">
        <f t="shared" si="142"/>
        <v>0</v>
      </c>
      <c r="DL83" s="511">
        <f t="shared" si="130"/>
        <v>0</v>
      </c>
      <c r="DM83" s="512" t="str">
        <f t="shared" si="131"/>
        <v/>
      </c>
      <c r="DN83" s="3"/>
      <c r="DO83" s="3"/>
      <c r="DP83" s="511">
        <f t="shared" si="132"/>
        <v>0</v>
      </c>
      <c r="DQ83" s="512" t="str">
        <f t="shared" si="133"/>
        <v/>
      </c>
      <c r="DR83" s="511">
        <f t="shared" si="143"/>
        <v>28068.560000000005</v>
      </c>
      <c r="DS83" s="511">
        <f t="shared" si="144"/>
        <v>26593.1</v>
      </c>
      <c r="DT83" s="511">
        <f t="shared" si="136"/>
        <v>1475.4600000000064</v>
      </c>
      <c r="DU83" s="512">
        <f t="shared" si="137"/>
        <v>1.0554828132109459</v>
      </c>
    </row>
    <row r="84" spans="1:125" x14ac:dyDescent="0.25">
      <c r="A84" s="2" t="s">
        <v>92</v>
      </c>
      <c r="B84" s="511">
        <f>8.75</f>
        <v>8.75</v>
      </c>
      <c r="C84" s="3"/>
      <c r="D84" s="511">
        <f t="shared" si="69"/>
        <v>8.75</v>
      </c>
      <c r="E84" s="512" t="str">
        <f t="shared" si="70"/>
        <v/>
      </c>
      <c r="F84" s="511">
        <f>620.96</f>
        <v>620.96</v>
      </c>
      <c r="G84" s="3"/>
      <c r="H84" s="511">
        <f t="shared" si="71"/>
        <v>620.96</v>
      </c>
      <c r="I84" s="512" t="str">
        <f t="shared" si="72"/>
        <v/>
      </c>
      <c r="J84" s="511">
        <f>105</f>
        <v>105</v>
      </c>
      <c r="K84" s="3"/>
      <c r="L84" s="511">
        <f t="shared" si="73"/>
        <v>105</v>
      </c>
      <c r="M84" s="512" t="str">
        <f t="shared" si="74"/>
        <v/>
      </c>
      <c r="N84" s="3"/>
      <c r="O84" s="3"/>
      <c r="P84" s="511">
        <f t="shared" si="75"/>
        <v>0</v>
      </c>
      <c r="Q84" s="512" t="str">
        <f t="shared" si="76"/>
        <v/>
      </c>
      <c r="R84" s="511">
        <f>37.5</f>
        <v>37.5</v>
      </c>
      <c r="S84" s="3"/>
      <c r="T84" s="511">
        <f t="shared" si="77"/>
        <v>37.5</v>
      </c>
      <c r="U84" s="512" t="str">
        <f t="shared" si="78"/>
        <v/>
      </c>
      <c r="V84" s="511">
        <f>29.75</f>
        <v>29.75</v>
      </c>
      <c r="W84" s="3"/>
      <c r="X84" s="511">
        <f t="shared" si="79"/>
        <v>29.75</v>
      </c>
      <c r="Y84" s="512" t="str">
        <f t="shared" si="80"/>
        <v/>
      </c>
      <c r="Z84" s="3"/>
      <c r="AA84" s="3"/>
      <c r="AB84" s="511">
        <f t="shared" si="81"/>
        <v>0</v>
      </c>
      <c r="AC84" s="512" t="str">
        <f t="shared" si="82"/>
        <v/>
      </c>
      <c r="AD84" s="3"/>
      <c r="AE84" s="3"/>
      <c r="AF84" s="511">
        <f t="shared" si="83"/>
        <v>0</v>
      </c>
      <c r="AG84" s="512" t="str">
        <f t="shared" si="84"/>
        <v/>
      </c>
      <c r="AH84" s="3"/>
      <c r="AI84" s="3"/>
      <c r="AJ84" s="511">
        <f t="shared" si="85"/>
        <v>0</v>
      </c>
      <c r="AK84" s="512" t="str">
        <f t="shared" si="86"/>
        <v/>
      </c>
      <c r="AL84" s="3"/>
      <c r="AM84" s="3"/>
      <c r="AN84" s="511">
        <f t="shared" si="87"/>
        <v>0</v>
      </c>
      <c r="AO84" s="512" t="str">
        <f t="shared" si="88"/>
        <v/>
      </c>
      <c r="AP84" s="3"/>
      <c r="AQ84" s="3"/>
      <c r="AR84" s="511">
        <f t="shared" si="89"/>
        <v>0</v>
      </c>
      <c r="AS84" s="512" t="str">
        <f t="shared" si="90"/>
        <v/>
      </c>
      <c r="AT84" s="3"/>
      <c r="AU84" s="3"/>
      <c r="AV84" s="511">
        <f t="shared" si="91"/>
        <v>0</v>
      </c>
      <c r="AW84" s="512" t="str">
        <f t="shared" si="92"/>
        <v/>
      </c>
      <c r="AX84" s="511">
        <f t="shared" si="138"/>
        <v>29.75</v>
      </c>
      <c r="AY84" s="511">
        <f t="shared" si="138"/>
        <v>0</v>
      </c>
      <c r="AZ84" s="511">
        <f t="shared" si="94"/>
        <v>29.75</v>
      </c>
      <c r="BA84" s="512" t="str">
        <f t="shared" si="95"/>
        <v/>
      </c>
      <c r="BB84" s="511">
        <f>17.5</f>
        <v>17.5</v>
      </c>
      <c r="BC84" s="511">
        <f>396</f>
        <v>396</v>
      </c>
      <c r="BD84" s="511">
        <f t="shared" si="96"/>
        <v>-378.5</v>
      </c>
      <c r="BE84" s="512">
        <f t="shared" si="97"/>
        <v>4.4191919191919192E-2</v>
      </c>
      <c r="BF84" s="3"/>
      <c r="BG84" s="3"/>
      <c r="BH84" s="511">
        <f t="shared" si="98"/>
        <v>0</v>
      </c>
      <c r="BI84" s="512" t="str">
        <f t="shared" si="99"/>
        <v/>
      </c>
      <c r="BJ84" s="3"/>
      <c r="BK84" s="3"/>
      <c r="BL84" s="511">
        <f t="shared" si="100"/>
        <v>0</v>
      </c>
      <c r="BM84" s="512" t="str">
        <f t="shared" si="101"/>
        <v/>
      </c>
      <c r="BN84" s="3"/>
      <c r="BO84" s="3"/>
      <c r="BP84" s="511">
        <f t="shared" si="102"/>
        <v>0</v>
      </c>
      <c r="BQ84" s="512" t="str">
        <f t="shared" si="103"/>
        <v/>
      </c>
      <c r="BR84" s="511">
        <f t="shared" si="139"/>
        <v>17.5</v>
      </c>
      <c r="BS84" s="511">
        <f t="shared" si="139"/>
        <v>396</v>
      </c>
      <c r="BT84" s="511">
        <f t="shared" si="105"/>
        <v>-378.5</v>
      </c>
      <c r="BU84" s="512">
        <f t="shared" si="106"/>
        <v>4.4191919191919192E-2</v>
      </c>
      <c r="BV84" s="511">
        <f>7</f>
        <v>7</v>
      </c>
      <c r="BW84" s="3"/>
      <c r="BX84" s="511">
        <f t="shared" si="107"/>
        <v>7</v>
      </c>
      <c r="BY84" s="512" t="str">
        <f t="shared" si="108"/>
        <v/>
      </c>
      <c r="BZ84" s="511">
        <f>7</f>
        <v>7</v>
      </c>
      <c r="CA84" s="3"/>
      <c r="CB84" s="511">
        <f t="shared" si="109"/>
        <v>7</v>
      </c>
      <c r="CC84" s="512" t="str">
        <f t="shared" si="110"/>
        <v/>
      </c>
      <c r="CD84" s="511">
        <f>98.54</f>
        <v>98.54</v>
      </c>
      <c r="CE84" s="3"/>
      <c r="CF84" s="511">
        <f t="shared" si="111"/>
        <v>98.54</v>
      </c>
      <c r="CG84" s="512" t="str">
        <f t="shared" si="112"/>
        <v/>
      </c>
      <c r="CH84" s="511">
        <f>43</f>
        <v>43</v>
      </c>
      <c r="CI84" s="3"/>
      <c r="CJ84" s="511">
        <f t="shared" si="113"/>
        <v>43</v>
      </c>
      <c r="CK84" s="512" t="str">
        <f t="shared" si="114"/>
        <v/>
      </c>
      <c r="CL84" s="511">
        <f t="shared" si="140"/>
        <v>141.54000000000002</v>
      </c>
      <c r="CM84" s="511">
        <f t="shared" si="140"/>
        <v>0</v>
      </c>
      <c r="CN84" s="511">
        <f t="shared" si="116"/>
        <v>141.54000000000002</v>
      </c>
      <c r="CO84" s="512" t="str">
        <f t="shared" si="117"/>
        <v/>
      </c>
      <c r="CP84" s="3"/>
      <c r="CQ84" s="3"/>
      <c r="CR84" s="511">
        <f t="shared" si="118"/>
        <v>0</v>
      </c>
      <c r="CS84" s="512" t="str">
        <f t="shared" si="119"/>
        <v/>
      </c>
      <c r="CT84" s="511">
        <f>17785.28</f>
        <v>17785.28</v>
      </c>
      <c r="CU84" s="3"/>
      <c r="CV84" s="511">
        <f t="shared" si="120"/>
        <v>17785.28</v>
      </c>
      <c r="CW84" s="512" t="str">
        <f t="shared" si="121"/>
        <v/>
      </c>
      <c r="CX84" s="511">
        <f t="shared" si="141"/>
        <v>17785.28</v>
      </c>
      <c r="CY84" s="511">
        <f t="shared" si="141"/>
        <v>0</v>
      </c>
      <c r="CZ84" s="511">
        <f t="shared" si="123"/>
        <v>17785.28</v>
      </c>
      <c r="DA84" s="512" t="str">
        <f t="shared" si="124"/>
        <v/>
      </c>
      <c r="DB84" s="511">
        <f>557.73</f>
        <v>557.73</v>
      </c>
      <c r="DC84" s="3"/>
      <c r="DD84" s="511">
        <f t="shared" si="125"/>
        <v>557.73</v>
      </c>
      <c r="DE84" s="512" t="str">
        <f t="shared" si="126"/>
        <v/>
      </c>
      <c r="DF84" s="3"/>
      <c r="DG84" s="3"/>
      <c r="DH84" s="511">
        <f t="shared" si="127"/>
        <v>0</v>
      </c>
      <c r="DI84" s="512" t="str">
        <f t="shared" si="128"/>
        <v/>
      </c>
      <c r="DJ84" s="511">
        <f t="shared" si="142"/>
        <v>557.73</v>
      </c>
      <c r="DK84" s="511">
        <f t="shared" si="142"/>
        <v>0</v>
      </c>
      <c r="DL84" s="511">
        <f t="shared" si="130"/>
        <v>557.73</v>
      </c>
      <c r="DM84" s="512" t="str">
        <f t="shared" si="131"/>
        <v/>
      </c>
      <c r="DN84" s="3"/>
      <c r="DO84" s="3"/>
      <c r="DP84" s="511">
        <f t="shared" si="132"/>
        <v>0</v>
      </c>
      <c r="DQ84" s="512" t="str">
        <f t="shared" si="133"/>
        <v/>
      </c>
      <c r="DR84" s="511">
        <f t="shared" si="143"/>
        <v>19318.009999999998</v>
      </c>
      <c r="DS84" s="511">
        <f t="shared" si="144"/>
        <v>396</v>
      </c>
      <c r="DT84" s="511">
        <f t="shared" si="136"/>
        <v>18922.009999999998</v>
      </c>
      <c r="DU84" s="512">
        <f t="shared" si="137"/>
        <v>48.782853535353532</v>
      </c>
    </row>
    <row r="85" spans="1:125" x14ac:dyDescent="0.25">
      <c r="A85" s="2" t="s">
        <v>93</v>
      </c>
      <c r="B85" s="3"/>
      <c r="C85" s="3"/>
      <c r="D85" s="511">
        <f t="shared" si="69"/>
        <v>0</v>
      </c>
      <c r="E85" s="512" t="str">
        <f t="shared" si="70"/>
        <v/>
      </c>
      <c r="F85" s="3"/>
      <c r="G85" s="3"/>
      <c r="H85" s="511">
        <f t="shared" si="71"/>
        <v>0</v>
      </c>
      <c r="I85" s="512" t="str">
        <f t="shared" si="72"/>
        <v/>
      </c>
      <c r="J85" s="3"/>
      <c r="K85" s="3"/>
      <c r="L85" s="511">
        <f t="shared" si="73"/>
        <v>0</v>
      </c>
      <c r="M85" s="512" t="str">
        <f t="shared" si="74"/>
        <v/>
      </c>
      <c r="N85" s="3"/>
      <c r="O85" s="3"/>
      <c r="P85" s="511">
        <f t="shared" si="75"/>
        <v>0</v>
      </c>
      <c r="Q85" s="512" t="str">
        <f t="shared" si="76"/>
        <v/>
      </c>
      <c r="R85" s="3"/>
      <c r="S85" s="3"/>
      <c r="T85" s="511">
        <f t="shared" si="77"/>
        <v>0</v>
      </c>
      <c r="U85" s="512" t="str">
        <f t="shared" si="78"/>
        <v/>
      </c>
      <c r="V85" s="3"/>
      <c r="W85" s="3"/>
      <c r="X85" s="511">
        <f t="shared" si="79"/>
        <v>0</v>
      </c>
      <c r="Y85" s="512" t="str">
        <f t="shared" si="80"/>
        <v/>
      </c>
      <c r="Z85" s="3"/>
      <c r="AA85" s="3"/>
      <c r="AB85" s="511">
        <f t="shared" si="81"/>
        <v>0</v>
      </c>
      <c r="AC85" s="512" t="str">
        <f t="shared" si="82"/>
        <v/>
      </c>
      <c r="AD85" s="3"/>
      <c r="AE85" s="3"/>
      <c r="AF85" s="511">
        <f t="shared" si="83"/>
        <v>0</v>
      </c>
      <c r="AG85" s="512" t="str">
        <f t="shared" si="84"/>
        <v/>
      </c>
      <c r="AH85" s="3"/>
      <c r="AI85" s="3"/>
      <c r="AJ85" s="511">
        <f t="shared" si="85"/>
        <v>0</v>
      </c>
      <c r="AK85" s="512" t="str">
        <f t="shared" si="86"/>
        <v/>
      </c>
      <c r="AL85" s="511">
        <f>5000</f>
        <v>5000</v>
      </c>
      <c r="AM85" s="3"/>
      <c r="AN85" s="511">
        <f t="shared" si="87"/>
        <v>5000</v>
      </c>
      <c r="AO85" s="512" t="str">
        <f t="shared" si="88"/>
        <v/>
      </c>
      <c r="AP85" s="3"/>
      <c r="AQ85" s="3"/>
      <c r="AR85" s="511">
        <f t="shared" si="89"/>
        <v>0</v>
      </c>
      <c r="AS85" s="512" t="str">
        <f t="shared" si="90"/>
        <v/>
      </c>
      <c r="AT85" s="3"/>
      <c r="AU85" s="3"/>
      <c r="AV85" s="511">
        <f t="shared" si="91"/>
        <v>0</v>
      </c>
      <c r="AW85" s="512" t="str">
        <f t="shared" si="92"/>
        <v/>
      </c>
      <c r="AX85" s="511">
        <f t="shared" si="138"/>
        <v>5000</v>
      </c>
      <c r="AY85" s="511">
        <f t="shared" si="138"/>
        <v>0</v>
      </c>
      <c r="AZ85" s="511">
        <f t="shared" si="94"/>
        <v>5000</v>
      </c>
      <c r="BA85" s="512" t="str">
        <f t="shared" si="95"/>
        <v/>
      </c>
      <c r="BB85" s="3"/>
      <c r="BC85" s="3"/>
      <c r="BD85" s="511">
        <f t="shared" si="96"/>
        <v>0</v>
      </c>
      <c r="BE85" s="512" t="str">
        <f t="shared" si="97"/>
        <v/>
      </c>
      <c r="BF85" s="3"/>
      <c r="BG85" s="3"/>
      <c r="BH85" s="511">
        <f t="shared" si="98"/>
        <v>0</v>
      </c>
      <c r="BI85" s="512" t="str">
        <f t="shared" si="99"/>
        <v/>
      </c>
      <c r="BJ85" s="511">
        <f>-1.97</f>
        <v>-1.97</v>
      </c>
      <c r="BK85" s="3"/>
      <c r="BL85" s="511">
        <f t="shared" si="100"/>
        <v>-1.97</v>
      </c>
      <c r="BM85" s="512" t="str">
        <f t="shared" si="101"/>
        <v/>
      </c>
      <c r="BN85" s="3"/>
      <c r="BO85" s="3"/>
      <c r="BP85" s="511">
        <f t="shared" si="102"/>
        <v>0</v>
      </c>
      <c r="BQ85" s="512" t="str">
        <f t="shared" si="103"/>
        <v/>
      </c>
      <c r="BR85" s="511">
        <f t="shared" si="139"/>
        <v>-1.97</v>
      </c>
      <c r="BS85" s="511">
        <f t="shared" si="139"/>
        <v>0</v>
      </c>
      <c r="BT85" s="511">
        <f t="shared" si="105"/>
        <v>-1.97</v>
      </c>
      <c r="BU85" s="512" t="str">
        <f t="shared" si="106"/>
        <v/>
      </c>
      <c r="BV85" s="3"/>
      <c r="BW85" s="3"/>
      <c r="BX85" s="511">
        <f t="shared" si="107"/>
        <v>0</v>
      </c>
      <c r="BY85" s="512" t="str">
        <f t="shared" si="108"/>
        <v/>
      </c>
      <c r="BZ85" s="3"/>
      <c r="CA85" s="3"/>
      <c r="CB85" s="511">
        <f t="shared" si="109"/>
        <v>0</v>
      </c>
      <c r="CC85" s="512" t="str">
        <f t="shared" si="110"/>
        <v/>
      </c>
      <c r="CD85" s="3"/>
      <c r="CE85" s="3"/>
      <c r="CF85" s="511">
        <f t="shared" si="111"/>
        <v>0</v>
      </c>
      <c r="CG85" s="512" t="str">
        <f t="shared" si="112"/>
        <v/>
      </c>
      <c r="CH85" s="3"/>
      <c r="CI85" s="3"/>
      <c r="CJ85" s="511">
        <f t="shared" si="113"/>
        <v>0</v>
      </c>
      <c r="CK85" s="512" t="str">
        <f t="shared" si="114"/>
        <v/>
      </c>
      <c r="CL85" s="511">
        <f t="shared" si="140"/>
        <v>0</v>
      </c>
      <c r="CM85" s="511">
        <f t="shared" si="140"/>
        <v>0</v>
      </c>
      <c r="CN85" s="511">
        <f t="shared" si="116"/>
        <v>0</v>
      </c>
      <c r="CO85" s="512" t="str">
        <f t="shared" si="117"/>
        <v/>
      </c>
      <c r="CP85" s="3"/>
      <c r="CQ85" s="3"/>
      <c r="CR85" s="511">
        <f t="shared" si="118"/>
        <v>0</v>
      </c>
      <c r="CS85" s="512" t="str">
        <f t="shared" si="119"/>
        <v/>
      </c>
      <c r="CT85" s="3"/>
      <c r="CU85" s="3"/>
      <c r="CV85" s="511">
        <f t="shared" si="120"/>
        <v>0</v>
      </c>
      <c r="CW85" s="512" t="str">
        <f t="shared" si="121"/>
        <v/>
      </c>
      <c r="CX85" s="511">
        <f t="shared" si="141"/>
        <v>0</v>
      </c>
      <c r="CY85" s="511">
        <f t="shared" si="141"/>
        <v>0</v>
      </c>
      <c r="CZ85" s="511">
        <f t="shared" si="123"/>
        <v>0</v>
      </c>
      <c r="DA85" s="512" t="str">
        <f t="shared" si="124"/>
        <v/>
      </c>
      <c r="DB85" s="3"/>
      <c r="DC85" s="3"/>
      <c r="DD85" s="511">
        <f t="shared" si="125"/>
        <v>0</v>
      </c>
      <c r="DE85" s="512" t="str">
        <f t="shared" si="126"/>
        <v/>
      </c>
      <c r="DF85" s="3"/>
      <c r="DG85" s="3"/>
      <c r="DH85" s="511">
        <f t="shared" si="127"/>
        <v>0</v>
      </c>
      <c r="DI85" s="512" t="str">
        <f t="shared" si="128"/>
        <v/>
      </c>
      <c r="DJ85" s="511">
        <f t="shared" si="142"/>
        <v>0</v>
      </c>
      <c r="DK85" s="511">
        <f t="shared" si="142"/>
        <v>0</v>
      </c>
      <c r="DL85" s="511">
        <f t="shared" si="130"/>
        <v>0</v>
      </c>
      <c r="DM85" s="512" t="str">
        <f t="shared" si="131"/>
        <v/>
      </c>
      <c r="DN85" s="3"/>
      <c r="DO85" s="3"/>
      <c r="DP85" s="511">
        <f t="shared" si="132"/>
        <v>0</v>
      </c>
      <c r="DQ85" s="512" t="str">
        <f t="shared" si="133"/>
        <v/>
      </c>
      <c r="DR85" s="511">
        <f t="shared" si="143"/>
        <v>4998.03</v>
      </c>
      <c r="DS85" s="511">
        <f t="shared" si="144"/>
        <v>0</v>
      </c>
      <c r="DT85" s="511">
        <f t="shared" si="136"/>
        <v>4998.03</v>
      </c>
      <c r="DU85" s="512" t="str">
        <f t="shared" si="137"/>
        <v/>
      </c>
    </row>
    <row r="86" spans="1:125" x14ac:dyDescent="0.25">
      <c r="A86" s="2" t="s">
        <v>94</v>
      </c>
      <c r="B86" s="3"/>
      <c r="C86" s="511">
        <f>500</f>
        <v>500</v>
      </c>
      <c r="D86" s="511">
        <f t="shared" si="69"/>
        <v>-500</v>
      </c>
      <c r="E86" s="512">
        <f t="shared" si="70"/>
        <v>0</v>
      </c>
      <c r="F86" s="3"/>
      <c r="G86" s="3"/>
      <c r="H86" s="511">
        <f t="shared" si="71"/>
        <v>0</v>
      </c>
      <c r="I86" s="512" t="str">
        <f t="shared" si="72"/>
        <v/>
      </c>
      <c r="J86" s="3"/>
      <c r="K86" s="3"/>
      <c r="L86" s="511">
        <f t="shared" si="73"/>
        <v>0</v>
      </c>
      <c r="M86" s="512" t="str">
        <f t="shared" si="74"/>
        <v/>
      </c>
      <c r="N86" s="3"/>
      <c r="O86" s="3"/>
      <c r="P86" s="511">
        <f t="shared" si="75"/>
        <v>0</v>
      </c>
      <c r="Q86" s="512" t="str">
        <f t="shared" si="76"/>
        <v/>
      </c>
      <c r="R86" s="3"/>
      <c r="S86" s="3"/>
      <c r="T86" s="511">
        <f t="shared" si="77"/>
        <v>0</v>
      </c>
      <c r="U86" s="512" t="str">
        <f t="shared" si="78"/>
        <v/>
      </c>
      <c r="V86" s="3"/>
      <c r="W86" s="3"/>
      <c r="X86" s="511">
        <f t="shared" si="79"/>
        <v>0</v>
      </c>
      <c r="Y86" s="512" t="str">
        <f t="shared" si="80"/>
        <v/>
      </c>
      <c r="Z86" s="3"/>
      <c r="AA86" s="3"/>
      <c r="AB86" s="511">
        <f t="shared" si="81"/>
        <v>0</v>
      </c>
      <c r="AC86" s="512" t="str">
        <f t="shared" si="82"/>
        <v/>
      </c>
      <c r="AD86" s="3"/>
      <c r="AE86" s="3"/>
      <c r="AF86" s="511">
        <f t="shared" si="83"/>
        <v>0</v>
      </c>
      <c r="AG86" s="512" t="str">
        <f t="shared" si="84"/>
        <v/>
      </c>
      <c r="AH86" s="3"/>
      <c r="AI86" s="3"/>
      <c r="AJ86" s="511">
        <f t="shared" si="85"/>
        <v>0</v>
      </c>
      <c r="AK86" s="512" t="str">
        <f t="shared" si="86"/>
        <v/>
      </c>
      <c r="AL86" s="3"/>
      <c r="AM86" s="3"/>
      <c r="AN86" s="511">
        <f t="shared" si="87"/>
        <v>0</v>
      </c>
      <c r="AO86" s="512" t="str">
        <f t="shared" si="88"/>
        <v/>
      </c>
      <c r="AP86" s="3"/>
      <c r="AQ86" s="3"/>
      <c r="AR86" s="511">
        <f t="shared" si="89"/>
        <v>0</v>
      </c>
      <c r="AS86" s="512" t="str">
        <f t="shared" si="90"/>
        <v/>
      </c>
      <c r="AT86" s="3"/>
      <c r="AU86" s="3"/>
      <c r="AV86" s="511">
        <f t="shared" si="91"/>
        <v>0</v>
      </c>
      <c r="AW86" s="512" t="str">
        <f t="shared" si="92"/>
        <v/>
      </c>
      <c r="AX86" s="511">
        <f t="shared" si="138"/>
        <v>0</v>
      </c>
      <c r="AY86" s="511">
        <f t="shared" si="138"/>
        <v>0</v>
      </c>
      <c r="AZ86" s="511">
        <f t="shared" si="94"/>
        <v>0</v>
      </c>
      <c r="BA86" s="512" t="str">
        <f t="shared" si="95"/>
        <v/>
      </c>
      <c r="BB86" s="3"/>
      <c r="BC86" s="3"/>
      <c r="BD86" s="511">
        <f t="shared" si="96"/>
        <v>0</v>
      </c>
      <c r="BE86" s="512" t="str">
        <f t="shared" si="97"/>
        <v/>
      </c>
      <c r="BF86" s="3"/>
      <c r="BG86" s="3"/>
      <c r="BH86" s="511">
        <f t="shared" si="98"/>
        <v>0</v>
      </c>
      <c r="BI86" s="512" t="str">
        <f t="shared" si="99"/>
        <v/>
      </c>
      <c r="BJ86" s="3"/>
      <c r="BK86" s="3"/>
      <c r="BL86" s="511">
        <f t="shared" si="100"/>
        <v>0</v>
      </c>
      <c r="BM86" s="512" t="str">
        <f t="shared" si="101"/>
        <v/>
      </c>
      <c r="BN86" s="3"/>
      <c r="BO86" s="3"/>
      <c r="BP86" s="511">
        <f t="shared" si="102"/>
        <v>0</v>
      </c>
      <c r="BQ86" s="512" t="str">
        <f t="shared" si="103"/>
        <v/>
      </c>
      <c r="BR86" s="511">
        <f t="shared" si="139"/>
        <v>0</v>
      </c>
      <c r="BS86" s="511">
        <f t="shared" si="139"/>
        <v>0</v>
      </c>
      <c r="BT86" s="511">
        <f t="shared" si="105"/>
        <v>0</v>
      </c>
      <c r="BU86" s="512" t="str">
        <f t="shared" si="106"/>
        <v/>
      </c>
      <c r="BV86" s="3"/>
      <c r="BW86" s="3"/>
      <c r="BX86" s="511">
        <f t="shared" si="107"/>
        <v>0</v>
      </c>
      <c r="BY86" s="512" t="str">
        <f t="shared" si="108"/>
        <v/>
      </c>
      <c r="BZ86" s="3"/>
      <c r="CA86" s="3"/>
      <c r="CB86" s="511">
        <f t="shared" si="109"/>
        <v>0</v>
      </c>
      <c r="CC86" s="512" t="str">
        <f t="shared" si="110"/>
        <v/>
      </c>
      <c r="CD86" s="3"/>
      <c r="CE86" s="3"/>
      <c r="CF86" s="511">
        <f t="shared" si="111"/>
        <v>0</v>
      </c>
      <c r="CG86" s="512" t="str">
        <f t="shared" si="112"/>
        <v/>
      </c>
      <c r="CH86" s="3"/>
      <c r="CI86" s="3"/>
      <c r="CJ86" s="511">
        <f t="shared" si="113"/>
        <v>0</v>
      </c>
      <c r="CK86" s="512" t="str">
        <f t="shared" si="114"/>
        <v/>
      </c>
      <c r="CL86" s="511">
        <f t="shared" si="140"/>
        <v>0</v>
      </c>
      <c r="CM86" s="511">
        <f t="shared" si="140"/>
        <v>0</v>
      </c>
      <c r="CN86" s="511">
        <f t="shared" si="116"/>
        <v>0</v>
      </c>
      <c r="CO86" s="512" t="str">
        <f t="shared" si="117"/>
        <v/>
      </c>
      <c r="CP86" s="511">
        <f>1100</f>
        <v>1100</v>
      </c>
      <c r="CQ86" s="3"/>
      <c r="CR86" s="511">
        <f t="shared" si="118"/>
        <v>1100</v>
      </c>
      <c r="CS86" s="512" t="str">
        <f t="shared" si="119"/>
        <v/>
      </c>
      <c r="CT86" s="3"/>
      <c r="CU86" s="3"/>
      <c r="CV86" s="511">
        <f t="shared" si="120"/>
        <v>0</v>
      </c>
      <c r="CW86" s="512" t="str">
        <f t="shared" si="121"/>
        <v/>
      </c>
      <c r="CX86" s="511">
        <f t="shared" si="141"/>
        <v>1100</v>
      </c>
      <c r="CY86" s="511">
        <f t="shared" si="141"/>
        <v>0</v>
      </c>
      <c r="CZ86" s="511">
        <f t="shared" si="123"/>
        <v>1100</v>
      </c>
      <c r="DA86" s="512" t="str">
        <f t="shared" si="124"/>
        <v/>
      </c>
      <c r="DB86" s="511">
        <f>590.3</f>
        <v>590.29999999999995</v>
      </c>
      <c r="DC86" s="3"/>
      <c r="DD86" s="511">
        <f t="shared" si="125"/>
        <v>590.29999999999995</v>
      </c>
      <c r="DE86" s="512" t="str">
        <f t="shared" si="126"/>
        <v/>
      </c>
      <c r="DF86" s="3"/>
      <c r="DG86" s="3"/>
      <c r="DH86" s="511">
        <f t="shared" si="127"/>
        <v>0</v>
      </c>
      <c r="DI86" s="512" t="str">
        <f t="shared" si="128"/>
        <v/>
      </c>
      <c r="DJ86" s="511">
        <f t="shared" si="142"/>
        <v>590.29999999999995</v>
      </c>
      <c r="DK86" s="511">
        <f t="shared" si="142"/>
        <v>0</v>
      </c>
      <c r="DL86" s="511">
        <f t="shared" si="130"/>
        <v>590.29999999999995</v>
      </c>
      <c r="DM86" s="512" t="str">
        <f t="shared" si="131"/>
        <v/>
      </c>
      <c r="DN86" s="3"/>
      <c r="DO86" s="3"/>
      <c r="DP86" s="511">
        <f t="shared" si="132"/>
        <v>0</v>
      </c>
      <c r="DQ86" s="512" t="str">
        <f t="shared" si="133"/>
        <v/>
      </c>
      <c r="DR86" s="511">
        <f t="shared" si="143"/>
        <v>1690.3</v>
      </c>
      <c r="DS86" s="511">
        <f t="shared" si="144"/>
        <v>500</v>
      </c>
      <c r="DT86" s="511">
        <f t="shared" si="136"/>
        <v>1190.3</v>
      </c>
      <c r="DU86" s="512">
        <f t="shared" si="137"/>
        <v>3.3805999999999998</v>
      </c>
    </row>
    <row r="87" spans="1:125" x14ac:dyDescent="0.25">
      <c r="A87" s="2" t="s">
        <v>95</v>
      </c>
      <c r="B87" s="3"/>
      <c r="C87" s="3"/>
      <c r="D87" s="511">
        <f t="shared" si="69"/>
        <v>0</v>
      </c>
      <c r="E87" s="512" t="str">
        <f t="shared" si="70"/>
        <v/>
      </c>
      <c r="F87" s="511">
        <f>250</f>
        <v>250</v>
      </c>
      <c r="G87" s="511">
        <f>11000</f>
        <v>11000</v>
      </c>
      <c r="H87" s="511">
        <f t="shared" si="71"/>
        <v>-10750</v>
      </c>
      <c r="I87" s="512">
        <f t="shared" si="72"/>
        <v>2.2727272727272728E-2</v>
      </c>
      <c r="J87" s="511">
        <f>502.9</f>
        <v>502.9</v>
      </c>
      <c r="K87" s="3"/>
      <c r="L87" s="511">
        <f t="shared" si="73"/>
        <v>502.9</v>
      </c>
      <c r="M87" s="512" t="str">
        <f t="shared" si="74"/>
        <v/>
      </c>
      <c r="N87" s="3"/>
      <c r="O87" s="3"/>
      <c r="P87" s="511">
        <f t="shared" si="75"/>
        <v>0</v>
      </c>
      <c r="Q87" s="512" t="str">
        <f t="shared" si="76"/>
        <v/>
      </c>
      <c r="R87" s="3"/>
      <c r="S87" s="3"/>
      <c r="T87" s="511">
        <f t="shared" si="77"/>
        <v>0</v>
      </c>
      <c r="U87" s="512" t="str">
        <f t="shared" si="78"/>
        <v/>
      </c>
      <c r="V87" s="511">
        <f>189</f>
        <v>189</v>
      </c>
      <c r="W87" s="3"/>
      <c r="X87" s="511">
        <f t="shared" si="79"/>
        <v>189</v>
      </c>
      <c r="Y87" s="512" t="str">
        <f t="shared" si="80"/>
        <v/>
      </c>
      <c r="Z87" s="3"/>
      <c r="AA87" s="3"/>
      <c r="AB87" s="511">
        <f t="shared" si="81"/>
        <v>0</v>
      </c>
      <c r="AC87" s="512" t="str">
        <f t="shared" si="82"/>
        <v/>
      </c>
      <c r="AD87" s="3"/>
      <c r="AE87" s="3"/>
      <c r="AF87" s="511">
        <f t="shared" si="83"/>
        <v>0</v>
      </c>
      <c r="AG87" s="512" t="str">
        <f t="shared" si="84"/>
        <v/>
      </c>
      <c r="AH87" s="3"/>
      <c r="AI87" s="3"/>
      <c r="AJ87" s="511">
        <f t="shared" si="85"/>
        <v>0</v>
      </c>
      <c r="AK87" s="512" t="str">
        <f t="shared" si="86"/>
        <v/>
      </c>
      <c r="AL87" s="511">
        <f>4405.33</f>
        <v>4405.33</v>
      </c>
      <c r="AM87" s="3"/>
      <c r="AN87" s="511">
        <f t="shared" si="87"/>
        <v>4405.33</v>
      </c>
      <c r="AO87" s="512" t="str">
        <f t="shared" si="88"/>
        <v/>
      </c>
      <c r="AP87" s="3"/>
      <c r="AQ87" s="3"/>
      <c r="AR87" s="511">
        <f t="shared" si="89"/>
        <v>0</v>
      </c>
      <c r="AS87" s="512" t="str">
        <f t="shared" si="90"/>
        <v/>
      </c>
      <c r="AT87" s="3"/>
      <c r="AU87" s="3"/>
      <c r="AV87" s="511">
        <f t="shared" si="91"/>
        <v>0</v>
      </c>
      <c r="AW87" s="512" t="str">
        <f t="shared" si="92"/>
        <v/>
      </c>
      <c r="AX87" s="511">
        <f t="shared" si="138"/>
        <v>4594.33</v>
      </c>
      <c r="AY87" s="511">
        <f t="shared" si="138"/>
        <v>0</v>
      </c>
      <c r="AZ87" s="511">
        <f t="shared" si="94"/>
        <v>4594.33</v>
      </c>
      <c r="BA87" s="512" t="str">
        <f t="shared" si="95"/>
        <v/>
      </c>
      <c r="BB87" s="3"/>
      <c r="BC87" s="3"/>
      <c r="BD87" s="511">
        <f t="shared" si="96"/>
        <v>0</v>
      </c>
      <c r="BE87" s="512" t="str">
        <f t="shared" si="97"/>
        <v/>
      </c>
      <c r="BF87" s="3"/>
      <c r="BG87" s="3"/>
      <c r="BH87" s="511">
        <f t="shared" si="98"/>
        <v>0</v>
      </c>
      <c r="BI87" s="512" t="str">
        <f t="shared" si="99"/>
        <v/>
      </c>
      <c r="BJ87" s="511">
        <f>5265.01</f>
        <v>5265.01</v>
      </c>
      <c r="BK87" s="3"/>
      <c r="BL87" s="511">
        <f t="shared" si="100"/>
        <v>5265.01</v>
      </c>
      <c r="BM87" s="512" t="str">
        <f t="shared" si="101"/>
        <v/>
      </c>
      <c r="BN87" s="3"/>
      <c r="BO87" s="3"/>
      <c r="BP87" s="511">
        <f t="shared" si="102"/>
        <v>0</v>
      </c>
      <c r="BQ87" s="512" t="str">
        <f t="shared" si="103"/>
        <v/>
      </c>
      <c r="BR87" s="511">
        <f t="shared" si="139"/>
        <v>5265.01</v>
      </c>
      <c r="BS87" s="511">
        <f t="shared" si="139"/>
        <v>0</v>
      </c>
      <c r="BT87" s="511">
        <f t="shared" si="105"/>
        <v>5265.01</v>
      </c>
      <c r="BU87" s="512" t="str">
        <f t="shared" si="106"/>
        <v/>
      </c>
      <c r="BV87" s="3"/>
      <c r="BW87" s="3"/>
      <c r="BX87" s="511">
        <f t="shared" si="107"/>
        <v>0</v>
      </c>
      <c r="BY87" s="512" t="str">
        <f t="shared" si="108"/>
        <v/>
      </c>
      <c r="BZ87" s="3"/>
      <c r="CA87" s="3"/>
      <c r="CB87" s="511">
        <f t="shared" si="109"/>
        <v>0</v>
      </c>
      <c r="CC87" s="512" t="str">
        <f t="shared" si="110"/>
        <v/>
      </c>
      <c r="CD87" s="3"/>
      <c r="CE87" s="3"/>
      <c r="CF87" s="511">
        <f t="shared" si="111"/>
        <v>0</v>
      </c>
      <c r="CG87" s="512" t="str">
        <f t="shared" si="112"/>
        <v/>
      </c>
      <c r="CH87" s="3"/>
      <c r="CI87" s="3"/>
      <c r="CJ87" s="511">
        <f t="shared" si="113"/>
        <v>0</v>
      </c>
      <c r="CK87" s="512" t="str">
        <f t="shared" si="114"/>
        <v/>
      </c>
      <c r="CL87" s="511">
        <f t="shared" si="140"/>
        <v>0</v>
      </c>
      <c r="CM87" s="511">
        <f t="shared" si="140"/>
        <v>0</v>
      </c>
      <c r="CN87" s="511">
        <f t="shared" si="116"/>
        <v>0</v>
      </c>
      <c r="CO87" s="512" t="str">
        <f t="shared" si="117"/>
        <v/>
      </c>
      <c r="CP87" s="511">
        <f>500</f>
        <v>500</v>
      </c>
      <c r="CQ87" s="3"/>
      <c r="CR87" s="511">
        <f t="shared" si="118"/>
        <v>500</v>
      </c>
      <c r="CS87" s="512" t="str">
        <f t="shared" si="119"/>
        <v/>
      </c>
      <c r="CT87" s="511">
        <f>124.81</f>
        <v>124.81</v>
      </c>
      <c r="CU87" s="3"/>
      <c r="CV87" s="511">
        <f t="shared" si="120"/>
        <v>124.81</v>
      </c>
      <c r="CW87" s="512" t="str">
        <f t="shared" si="121"/>
        <v/>
      </c>
      <c r="CX87" s="511">
        <f t="shared" si="141"/>
        <v>624.80999999999995</v>
      </c>
      <c r="CY87" s="511">
        <f t="shared" si="141"/>
        <v>0</v>
      </c>
      <c r="CZ87" s="511">
        <f t="shared" si="123"/>
        <v>624.80999999999995</v>
      </c>
      <c r="DA87" s="512" t="str">
        <f t="shared" si="124"/>
        <v/>
      </c>
      <c r="DB87" s="511">
        <f>110.06</f>
        <v>110.06</v>
      </c>
      <c r="DC87" s="3"/>
      <c r="DD87" s="511">
        <f t="shared" si="125"/>
        <v>110.06</v>
      </c>
      <c r="DE87" s="512" t="str">
        <f t="shared" si="126"/>
        <v/>
      </c>
      <c r="DF87" s="3"/>
      <c r="DG87" s="3"/>
      <c r="DH87" s="511">
        <f t="shared" si="127"/>
        <v>0</v>
      </c>
      <c r="DI87" s="512" t="str">
        <f t="shared" si="128"/>
        <v/>
      </c>
      <c r="DJ87" s="511">
        <f t="shared" si="142"/>
        <v>110.06</v>
      </c>
      <c r="DK87" s="511">
        <f t="shared" si="142"/>
        <v>0</v>
      </c>
      <c r="DL87" s="511">
        <f t="shared" si="130"/>
        <v>110.06</v>
      </c>
      <c r="DM87" s="512" t="str">
        <f t="shared" si="131"/>
        <v/>
      </c>
      <c r="DN87" s="3"/>
      <c r="DO87" s="3"/>
      <c r="DP87" s="511">
        <f t="shared" si="132"/>
        <v>0</v>
      </c>
      <c r="DQ87" s="512" t="str">
        <f t="shared" si="133"/>
        <v/>
      </c>
      <c r="DR87" s="511">
        <f t="shared" si="143"/>
        <v>11347.109999999999</v>
      </c>
      <c r="DS87" s="511">
        <f t="shared" si="144"/>
        <v>11000</v>
      </c>
      <c r="DT87" s="511">
        <f t="shared" si="136"/>
        <v>347.10999999999876</v>
      </c>
      <c r="DU87" s="512">
        <f t="shared" si="137"/>
        <v>1.0315554545454544</v>
      </c>
    </row>
    <row r="88" spans="1:125" x14ac:dyDescent="0.25">
      <c r="A88" s="2" t="s">
        <v>96</v>
      </c>
      <c r="B88" s="513">
        <f>((((B83)+(B84))+(B85))+(B86))+(B87)</f>
        <v>114.49</v>
      </c>
      <c r="C88" s="513">
        <f>((((C83)+(C84))+(C85))+(C86))+(C87)</f>
        <v>500</v>
      </c>
      <c r="D88" s="513">
        <f t="shared" si="69"/>
        <v>-385.51</v>
      </c>
      <c r="E88" s="514">
        <f t="shared" si="70"/>
        <v>0.22897999999999999</v>
      </c>
      <c r="F88" s="513">
        <f>((((F83)+(F84))+(F85))+(F86))+(F87)</f>
        <v>6870.96</v>
      </c>
      <c r="G88" s="513">
        <f>((((G83)+(G84))+(G85))+(G86))+(G87)</f>
        <v>16000</v>
      </c>
      <c r="H88" s="513">
        <f t="shared" si="71"/>
        <v>-9129.0400000000009</v>
      </c>
      <c r="I88" s="514">
        <f t="shared" si="72"/>
        <v>0.42943500000000001</v>
      </c>
      <c r="J88" s="513">
        <f>((((J83)+(J84))+(J85))+(J86))+(J87)</f>
        <v>3082.4500000000003</v>
      </c>
      <c r="K88" s="513">
        <f>((((K83)+(K84))+(K85))+(K86))+(K87)</f>
        <v>750</v>
      </c>
      <c r="L88" s="513">
        <f t="shared" si="73"/>
        <v>2332.4500000000003</v>
      </c>
      <c r="M88" s="514">
        <f t="shared" si="74"/>
        <v>4.1099333333333341</v>
      </c>
      <c r="N88" s="513">
        <f>((((N83)+(N84))+(N85))+(N86))+(N87)</f>
        <v>0</v>
      </c>
      <c r="O88" s="513">
        <f>((((O83)+(O84))+(O85))+(O86))+(O87)</f>
        <v>0</v>
      </c>
      <c r="P88" s="513">
        <f t="shared" si="75"/>
        <v>0</v>
      </c>
      <c r="Q88" s="514" t="str">
        <f t="shared" si="76"/>
        <v/>
      </c>
      <c r="R88" s="513">
        <f>((((R83)+(R84))+(R85))+(R86))+(R87)</f>
        <v>987.98</v>
      </c>
      <c r="S88" s="513">
        <f>((((S83)+(S84))+(S85))+(S86))+(S87)</f>
        <v>0</v>
      </c>
      <c r="T88" s="513">
        <f t="shared" si="77"/>
        <v>987.98</v>
      </c>
      <c r="U88" s="514" t="str">
        <f t="shared" si="78"/>
        <v/>
      </c>
      <c r="V88" s="513">
        <f>((((V83)+(V84))+(V85))+(V86))+(V87)</f>
        <v>809.24</v>
      </c>
      <c r="W88" s="513">
        <f>((((W83)+(W84))+(W85))+(W86))+(W87)</f>
        <v>0</v>
      </c>
      <c r="X88" s="513">
        <f t="shared" si="79"/>
        <v>809.24</v>
      </c>
      <c r="Y88" s="514" t="str">
        <f t="shared" si="80"/>
        <v/>
      </c>
      <c r="Z88" s="513">
        <f>((((Z83)+(Z84))+(Z85))+(Z86))+(Z87)</f>
        <v>0</v>
      </c>
      <c r="AA88" s="513">
        <f>((((AA83)+(AA84))+(AA85))+(AA86))+(AA87)</f>
        <v>0</v>
      </c>
      <c r="AB88" s="513">
        <f t="shared" si="81"/>
        <v>0</v>
      </c>
      <c r="AC88" s="514" t="str">
        <f t="shared" si="82"/>
        <v/>
      </c>
      <c r="AD88" s="513">
        <f>((((AD83)+(AD84))+(AD85))+(AD86))+(AD87)</f>
        <v>0</v>
      </c>
      <c r="AE88" s="513">
        <f>((((AE83)+(AE84))+(AE85))+(AE86))+(AE87)</f>
        <v>0</v>
      </c>
      <c r="AF88" s="513">
        <f t="shared" si="83"/>
        <v>0</v>
      </c>
      <c r="AG88" s="514" t="str">
        <f t="shared" si="84"/>
        <v/>
      </c>
      <c r="AH88" s="513">
        <f>((((AH83)+(AH84))+(AH85))+(AH86))+(AH87)</f>
        <v>0</v>
      </c>
      <c r="AI88" s="513">
        <f>((((AI83)+(AI84))+(AI85))+(AI86))+(AI87)</f>
        <v>0</v>
      </c>
      <c r="AJ88" s="513">
        <f t="shared" si="85"/>
        <v>0</v>
      </c>
      <c r="AK88" s="514" t="str">
        <f t="shared" si="86"/>
        <v/>
      </c>
      <c r="AL88" s="513">
        <f>((((AL83)+(AL84))+(AL85))+(AL86))+(AL87)</f>
        <v>15202.83</v>
      </c>
      <c r="AM88" s="513">
        <f>((((AM83)+(AM84))+(AM85))+(AM86))+(AM87)</f>
        <v>0</v>
      </c>
      <c r="AN88" s="513">
        <f t="shared" si="87"/>
        <v>15202.83</v>
      </c>
      <c r="AO88" s="514" t="str">
        <f t="shared" si="88"/>
        <v/>
      </c>
      <c r="AP88" s="513">
        <f>((((AP83)+(AP84))+(AP85))+(AP86))+(AP87)</f>
        <v>0</v>
      </c>
      <c r="AQ88" s="513">
        <f>((((AQ83)+(AQ84))+(AQ85))+(AQ86))+(AQ87)</f>
        <v>0</v>
      </c>
      <c r="AR88" s="513">
        <f t="shared" si="89"/>
        <v>0</v>
      </c>
      <c r="AS88" s="514" t="str">
        <f t="shared" si="90"/>
        <v/>
      </c>
      <c r="AT88" s="513">
        <f>((((AT83)+(AT84))+(AT85))+(AT86))+(AT87)</f>
        <v>9250</v>
      </c>
      <c r="AU88" s="513">
        <f>((((AU83)+(AU84))+(AU85))+(AU86))+(AU87)</f>
        <v>0</v>
      </c>
      <c r="AV88" s="513">
        <f t="shared" si="91"/>
        <v>9250</v>
      </c>
      <c r="AW88" s="514" t="str">
        <f t="shared" si="92"/>
        <v/>
      </c>
      <c r="AX88" s="513">
        <f t="shared" si="138"/>
        <v>25262.07</v>
      </c>
      <c r="AY88" s="513">
        <f t="shared" si="138"/>
        <v>0</v>
      </c>
      <c r="AZ88" s="513">
        <f t="shared" si="94"/>
        <v>25262.07</v>
      </c>
      <c r="BA88" s="514" t="str">
        <f t="shared" si="95"/>
        <v/>
      </c>
      <c r="BB88" s="513">
        <f>((((BB83)+(BB84))+(BB85))+(BB86))+(BB87)</f>
        <v>2061.56</v>
      </c>
      <c r="BC88" s="513">
        <f>((((BC83)+(BC84))+(BC85))+(BC86))+(BC87)</f>
        <v>14951.6</v>
      </c>
      <c r="BD88" s="513">
        <f t="shared" si="96"/>
        <v>-12890.04</v>
      </c>
      <c r="BE88" s="514">
        <f t="shared" si="97"/>
        <v>0.13788223333957569</v>
      </c>
      <c r="BF88" s="513">
        <f>((((BF83)+(BF84))+(BF85))+(BF86))+(BF87)</f>
        <v>0</v>
      </c>
      <c r="BG88" s="513">
        <f>((((BG83)+(BG84))+(BG85))+(BG86))+(BG87)</f>
        <v>0</v>
      </c>
      <c r="BH88" s="513">
        <f t="shared" si="98"/>
        <v>0</v>
      </c>
      <c r="BI88" s="514" t="str">
        <f t="shared" si="99"/>
        <v/>
      </c>
      <c r="BJ88" s="513">
        <f>((((BJ83)+(BJ84))+(BJ85))+(BJ86))+(BJ87)</f>
        <v>5263.04</v>
      </c>
      <c r="BK88" s="513">
        <f>((((BK83)+(BK84))+(BK85))+(BK86))+(BK87)</f>
        <v>0</v>
      </c>
      <c r="BL88" s="513">
        <f t="shared" si="100"/>
        <v>5263.04</v>
      </c>
      <c r="BM88" s="514" t="str">
        <f t="shared" si="101"/>
        <v/>
      </c>
      <c r="BN88" s="513">
        <f>((((BN83)+(BN84))+(BN85))+(BN86))+(BN87)</f>
        <v>0</v>
      </c>
      <c r="BO88" s="513">
        <f>((((BO83)+(BO84))+(BO85))+(BO86))+(BO87)</f>
        <v>0</v>
      </c>
      <c r="BP88" s="513">
        <f t="shared" si="102"/>
        <v>0</v>
      </c>
      <c r="BQ88" s="514" t="str">
        <f t="shared" si="103"/>
        <v/>
      </c>
      <c r="BR88" s="513">
        <f t="shared" si="139"/>
        <v>7324.6</v>
      </c>
      <c r="BS88" s="513">
        <f t="shared" si="139"/>
        <v>14951.6</v>
      </c>
      <c r="BT88" s="513">
        <f t="shared" si="105"/>
        <v>-7627</v>
      </c>
      <c r="BU88" s="514">
        <f t="shared" si="106"/>
        <v>0.48988736991358783</v>
      </c>
      <c r="BV88" s="513">
        <f>((((BV83)+(BV84))+(BV85))+(BV86))+(BV87)</f>
        <v>37.840000000000003</v>
      </c>
      <c r="BW88" s="513">
        <f>((((BW83)+(BW84))+(BW85))+(BW86))+(BW87)</f>
        <v>0</v>
      </c>
      <c r="BX88" s="513">
        <f t="shared" si="107"/>
        <v>37.840000000000003</v>
      </c>
      <c r="BY88" s="514" t="str">
        <f t="shared" si="108"/>
        <v/>
      </c>
      <c r="BZ88" s="513">
        <f>((((BZ83)+(BZ84))+(BZ85))+(BZ86))+(BZ87)</f>
        <v>787.84</v>
      </c>
      <c r="CA88" s="513">
        <f>((((CA83)+(CA84))+(CA85))+(CA86))+(CA87)</f>
        <v>0</v>
      </c>
      <c r="CB88" s="513">
        <f t="shared" si="109"/>
        <v>787.84</v>
      </c>
      <c r="CC88" s="514" t="str">
        <f t="shared" si="110"/>
        <v/>
      </c>
      <c r="CD88" s="513">
        <f>((((CD83)+(CD84))+(CD85))+(CD86))+(CD87)</f>
        <v>129.38</v>
      </c>
      <c r="CE88" s="513">
        <f>((((CE83)+(CE84))+(CE85))+(CE86))+(CE87)</f>
        <v>0</v>
      </c>
      <c r="CF88" s="513">
        <f t="shared" si="111"/>
        <v>129.38</v>
      </c>
      <c r="CG88" s="514" t="str">
        <f t="shared" si="112"/>
        <v/>
      </c>
      <c r="CH88" s="513">
        <f>((((CH83)+(CH84))+(CH85))+(CH86))+(CH87)</f>
        <v>43</v>
      </c>
      <c r="CI88" s="513">
        <f>((((CI83)+(CI84))+(CI85))+(CI86))+(CI87)</f>
        <v>0</v>
      </c>
      <c r="CJ88" s="513">
        <f t="shared" si="113"/>
        <v>43</v>
      </c>
      <c r="CK88" s="514" t="str">
        <f t="shared" si="114"/>
        <v/>
      </c>
      <c r="CL88" s="513">
        <f t="shared" si="140"/>
        <v>172.38</v>
      </c>
      <c r="CM88" s="513">
        <f t="shared" si="140"/>
        <v>0</v>
      </c>
      <c r="CN88" s="513">
        <f t="shared" si="116"/>
        <v>172.38</v>
      </c>
      <c r="CO88" s="514" t="str">
        <f t="shared" si="117"/>
        <v/>
      </c>
      <c r="CP88" s="513">
        <f>((((CP83)+(CP84))+(CP85))+(CP86))+(CP87)</f>
        <v>1613.22</v>
      </c>
      <c r="CQ88" s="513">
        <f>((((CQ83)+(CQ84))+(CQ85))+(CQ86))+(CQ87)</f>
        <v>0</v>
      </c>
      <c r="CR88" s="513">
        <f t="shared" si="118"/>
        <v>1613.22</v>
      </c>
      <c r="CS88" s="514" t="str">
        <f t="shared" si="119"/>
        <v/>
      </c>
      <c r="CT88" s="513">
        <f>((((CT83)+(CT84))+(CT85))+(CT86))+(CT87)</f>
        <v>17910.09</v>
      </c>
      <c r="CU88" s="513">
        <f>((((CU83)+(CU84))+(CU85))+(CU86))+(CU87)</f>
        <v>6287.5</v>
      </c>
      <c r="CV88" s="513">
        <f t="shared" si="120"/>
        <v>11622.59</v>
      </c>
      <c r="CW88" s="514">
        <f t="shared" si="121"/>
        <v>2.8485232604373758</v>
      </c>
      <c r="CX88" s="513">
        <f t="shared" si="141"/>
        <v>19523.310000000001</v>
      </c>
      <c r="CY88" s="513">
        <f t="shared" si="141"/>
        <v>6287.5</v>
      </c>
      <c r="CZ88" s="513">
        <f t="shared" si="123"/>
        <v>13235.810000000001</v>
      </c>
      <c r="DA88" s="514">
        <f t="shared" si="124"/>
        <v>3.105099005964215</v>
      </c>
      <c r="DB88" s="513">
        <f>((((DB83)+(DB84))+(DB85))+(DB86))+(DB87)</f>
        <v>1258.0899999999999</v>
      </c>
      <c r="DC88" s="513">
        <f>((((DC83)+(DC84))+(DC85))+(DC86))+(DC87)</f>
        <v>0</v>
      </c>
      <c r="DD88" s="513">
        <f t="shared" si="125"/>
        <v>1258.0899999999999</v>
      </c>
      <c r="DE88" s="514" t="str">
        <f t="shared" si="126"/>
        <v/>
      </c>
      <c r="DF88" s="513">
        <f>((((DF83)+(DF84))+(DF85))+(DF86))+(DF87)</f>
        <v>0</v>
      </c>
      <c r="DG88" s="513">
        <f>((((DG83)+(DG84))+(DG85))+(DG86))+(DG87)</f>
        <v>0</v>
      </c>
      <c r="DH88" s="513">
        <f t="shared" si="127"/>
        <v>0</v>
      </c>
      <c r="DI88" s="514" t="str">
        <f t="shared" si="128"/>
        <v/>
      </c>
      <c r="DJ88" s="513">
        <f t="shared" si="142"/>
        <v>1258.0899999999999</v>
      </c>
      <c r="DK88" s="513">
        <f t="shared" si="142"/>
        <v>0</v>
      </c>
      <c r="DL88" s="513">
        <f t="shared" si="130"/>
        <v>1258.0899999999999</v>
      </c>
      <c r="DM88" s="514" t="str">
        <f t="shared" si="131"/>
        <v/>
      </c>
      <c r="DN88" s="513">
        <f>((((DN83)+(DN84))+(DN85))+(DN86))+(DN87)</f>
        <v>0</v>
      </c>
      <c r="DO88" s="513">
        <f>((((DO83)+(DO84))+(DO85))+(DO86))+(DO87)</f>
        <v>0</v>
      </c>
      <c r="DP88" s="513">
        <f t="shared" si="132"/>
        <v>0</v>
      </c>
      <c r="DQ88" s="514" t="str">
        <f t="shared" si="133"/>
        <v/>
      </c>
      <c r="DR88" s="513">
        <f t="shared" si="143"/>
        <v>65422.00999999998</v>
      </c>
      <c r="DS88" s="513">
        <f t="shared" si="144"/>
        <v>38489.1</v>
      </c>
      <c r="DT88" s="513">
        <f t="shared" si="136"/>
        <v>26932.909999999982</v>
      </c>
      <c r="DU88" s="514">
        <f t="shared" si="137"/>
        <v>1.6997542161287218</v>
      </c>
    </row>
    <row r="89" spans="1:125" x14ac:dyDescent="0.25">
      <c r="A89" s="2" t="s">
        <v>892</v>
      </c>
      <c r="B89" s="3"/>
      <c r="C89" s="3"/>
      <c r="D89" s="511">
        <f t="shared" si="69"/>
        <v>0</v>
      </c>
      <c r="E89" s="512" t="str">
        <f t="shared" si="70"/>
        <v/>
      </c>
      <c r="F89" s="3"/>
      <c r="G89" s="3"/>
      <c r="H89" s="511">
        <f t="shared" si="71"/>
        <v>0</v>
      </c>
      <c r="I89" s="512" t="str">
        <f t="shared" si="72"/>
        <v/>
      </c>
      <c r="J89" s="3"/>
      <c r="K89" s="3"/>
      <c r="L89" s="511">
        <f t="shared" si="73"/>
        <v>0</v>
      </c>
      <c r="M89" s="512" t="str">
        <f t="shared" si="74"/>
        <v/>
      </c>
      <c r="N89" s="3"/>
      <c r="O89" s="3"/>
      <c r="P89" s="511">
        <f t="shared" si="75"/>
        <v>0</v>
      </c>
      <c r="Q89" s="512" t="str">
        <f t="shared" si="76"/>
        <v/>
      </c>
      <c r="R89" s="3"/>
      <c r="S89" s="3"/>
      <c r="T89" s="511">
        <f t="shared" si="77"/>
        <v>0</v>
      </c>
      <c r="U89" s="512" t="str">
        <f t="shared" si="78"/>
        <v/>
      </c>
      <c r="V89" s="3"/>
      <c r="W89" s="3"/>
      <c r="X89" s="511">
        <f t="shared" si="79"/>
        <v>0</v>
      </c>
      <c r="Y89" s="512" t="str">
        <f t="shared" si="80"/>
        <v/>
      </c>
      <c r="Z89" s="3"/>
      <c r="AA89" s="3"/>
      <c r="AB89" s="511">
        <f t="shared" si="81"/>
        <v>0</v>
      </c>
      <c r="AC89" s="512" t="str">
        <f t="shared" si="82"/>
        <v/>
      </c>
      <c r="AD89" s="3"/>
      <c r="AE89" s="3"/>
      <c r="AF89" s="511">
        <f t="shared" si="83"/>
        <v>0</v>
      </c>
      <c r="AG89" s="512" t="str">
        <f t="shared" si="84"/>
        <v/>
      </c>
      <c r="AH89" s="3"/>
      <c r="AI89" s="3"/>
      <c r="AJ89" s="511">
        <f t="shared" si="85"/>
        <v>0</v>
      </c>
      <c r="AK89" s="512" t="str">
        <f t="shared" si="86"/>
        <v/>
      </c>
      <c r="AL89" s="3"/>
      <c r="AM89" s="3"/>
      <c r="AN89" s="511">
        <f t="shared" si="87"/>
        <v>0</v>
      </c>
      <c r="AO89" s="512" t="str">
        <f t="shared" si="88"/>
        <v/>
      </c>
      <c r="AP89" s="3"/>
      <c r="AQ89" s="3"/>
      <c r="AR89" s="511">
        <f t="shared" si="89"/>
        <v>0</v>
      </c>
      <c r="AS89" s="512" t="str">
        <f t="shared" si="90"/>
        <v/>
      </c>
      <c r="AT89" s="3"/>
      <c r="AU89" s="3"/>
      <c r="AV89" s="511">
        <f t="shared" si="91"/>
        <v>0</v>
      </c>
      <c r="AW89" s="512" t="str">
        <f t="shared" si="92"/>
        <v/>
      </c>
      <c r="AX89" s="511">
        <f t="shared" si="138"/>
        <v>0</v>
      </c>
      <c r="AY89" s="511">
        <f t="shared" si="138"/>
        <v>0</v>
      </c>
      <c r="AZ89" s="511">
        <f t="shared" si="94"/>
        <v>0</v>
      </c>
      <c r="BA89" s="512" t="str">
        <f t="shared" si="95"/>
        <v/>
      </c>
      <c r="BB89" s="3"/>
      <c r="BC89" s="3"/>
      <c r="BD89" s="511">
        <f t="shared" si="96"/>
        <v>0</v>
      </c>
      <c r="BE89" s="512" t="str">
        <f t="shared" si="97"/>
        <v/>
      </c>
      <c r="BF89" s="3"/>
      <c r="BG89" s="3"/>
      <c r="BH89" s="511">
        <f t="shared" si="98"/>
        <v>0</v>
      </c>
      <c r="BI89" s="512" t="str">
        <f t="shared" si="99"/>
        <v/>
      </c>
      <c r="BJ89" s="3"/>
      <c r="BK89" s="3"/>
      <c r="BL89" s="511">
        <f t="shared" si="100"/>
        <v>0</v>
      </c>
      <c r="BM89" s="512" t="str">
        <f t="shared" si="101"/>
        <v/>
      </c>
      <c r="BN89" s="3"/>
      <c r="BO89" s="3"/>
      <c r="BP89" s="511">
        <f t="shared" si="102"/>
        <v>0</v>
      </c>
      <c r="BQ89" s="512" t="str">
        <f t="shared" si="103"/>
        <v/>
      </c>
      <c r="BR89" s="511">
        <f t="shared" si="139"/>
        <v>0</v>
      </c>
      <c r="BS89" s="511">
        <f t="shared" si="139"/>
        <v>0</v>
      </c>
      <c r="BT89" s="511">
        <f t="shared" si="105"/>
        <v>0</v>
      </c>
      <c r="BU89" s="512" t="str">
        <f t="shared" si="106"/>
        <v/>
      </c>
      <c r="BV89" s="3"/>
      <c r="BW89" s="3"/>
      <c r="BX89" s="511">
        <f t="shared" si="107"/>
        <v>0</v>
      </c>
      <c r="BY89" s="512" t="str">
        <f t="shared" si="108"/>
        <v/>
      </c>
      <c r="BZ89" s="3"/>
      <c r="CA89" s="3"/>
      <c r="CB89" s="511">
        <f t="shared" si="109"/>
        <v>0</v>
      </c>
      <c r="CC89" s="512" t="str">
        <f t="shared" si="110"/>
        <v/>
      </c>
      <c r="CD89" s="3"/>
      <c r="CE89" s="3"/>
      <c r="CF89" s="511">
        <f t="shared" si="111"/>
        <v>0</v>
      </c>
      <c r="CG89" s="512" t="str">
        <f t="shared" si="112"/>
        <v/>
      </c>
      <c r="CH89" s="3"/>
      <c r="CI89" s="3"/>
      <c r="CJ89" s="511">
        <f t="shared" si="113"/>
        <v>0</v>
      </c>
      <c r="CK89" s="512" t="str">
        <f t="shared" si="114"/>
        <v/>
      </c>
      <c r="CL89" s="511">
        <f t="shared" si="140"/>
        <v>0</v>
      </c>
      <c r="CM89" s="511">
        <f t="shared" si="140"/>
        <v>0</v>
      </c>
      <c r="CN89" s="511">
        <f t="shared" si="116"/>
        <v>0</v>
      </c>
      <c r="CO89" s="512" t="str">
        <f t="shared" si="117"/>
        <v/>
      </c>
      <c r="CP89" s="3"/>
      <c r="CQ89" s="3"/>
      <c r="CR89" s="511">
        <f t="shared" si="118"/>
        <v>0</v>
      </c>
      <c r="CS89" s="512" t="str">
        <f t="shared" si="119"/>
        <v/>
      </c>
      <c r="CT89" s="3"/>
      <c r="CU89" s="3"/>
      <c r="CV89" s="511">
        <f t="shared" si="120"/>
        <v>0</v>
      </c>
      <c r="CW89" s="512" t="str">
        <f t="shared" si="121"/>
        <v/>
      </c>
      <c r="CX89" s="511">
        <f t="shared" si="141"/>
        <v>0</v>
      </c>
      <c r="CY89" s="511">
        <f t="shared" si="141"/>
        <v>0</v>
      </c>
      <c r="CZ89" s="511">
        <f t="shared" si="123"/>
        <v>0</v>
      </c>
      <c r="DA89" s="512" t="str">
        <f t="shared" si="124"/>
        <v/>
      </c>
      <c r="DB89" s="3"/>
      <c r="DC89" s="3"/>
      <c r="DD89" s="511">
        <f t="shared" si="125"/>
        <v>0</v>
      </c>
      <c r="DE89" s="512" t="str">
        <f t="shared" si="126"/>
        <v/>
      </c>
      <c r="DF89" s="3"/>
      <c r="DG89" s="3"/>
      <c r="DH89" s="511">
        <f t="shared" si="127"/>
        <v>0</v>
      </c>
      <c r="DI89" s="512" t="str">
        <f t="shared" si="128"/>
        <v/>
      </c>
      <c r="DJ89" s="511">
        <f t="shared" si="142"/>
        <v>0</v>
      </c>
      <c r="DK89" s="511">
        <f t="shared" si="142"/>
        <v>0</v>
      </c>
      <c r="DL89" s="511">
        <f t="shared" si="130"/>
        <v>0</v>
      </c>
      <c r="DM89" s="512" t="str">
        <f t="shared" si="131"/>
        <v/>
      </c>
      <c r="DN89" s="3"/>
      <c r="DO89" s="3"/>
      <c r="DP89" s="511">
        <f t="shared" si="132"/>
        <v>0</v>
      </c>
      <c r="DQ89" s="512" t="str">
        <f t="shared" si="133"/>
        <v/>
      </c>
      <c r="DR89" s="511">
        <f t="shared" si="143"/>
        <v>0</v>
      </c>
      <c r="DS89" s="511">
        <f t="shared" si="144"/>
        <v>0</v>
      </c>
      <c r="DT89" s="511">
        <f t="shared" si="136"/>
        <v>0</v>
      </c>
      <c r="DU89" s="512" t="str">
        <f t="shared" si="137"/>
        <v/>
      </c>
    </row>
    <row r="90" spans="1:125" x14ac:dyDescent="0.25">
      <c r="A90" s="2" t="s">
        <v>734</v>
      </c>
      <c r="B90" s="3"/>
      <c r="C90" s="3"/>
      <c r="D90" s="511">
        <f t="shared" si="69"/>
        <v>0</v>
      </c>
      <c r="E90" s="512" t="str">
        <f t="shared" si="70"/>
        <v/>
      </c>
      <c r="F90" s="511">
        <f>49</f>
        <v>49</v>
      </c>
      <c r="G90" s="3"/>
      <c r="H90" s="511">
        <f t="shared" si="71"/>
        <v>49</v>
      </c>
      <c r="I90" s="512" t="str">
        <f t="shared" si="72"/>
        <v/>
      </c>
      <c r="J90" s="3"/>
      <c r="K90" s="3"/>
      <c r="L90" s="511">
        <f t="shared" si="73"/>
        <v>0</v>
      </c>
      <c r="M90" s="512" t="str">
        <f t="shared" si="74"/>
        <v/>
      </c>
      <c r="N90" s="3"/>
      <c r="O90" s="3"/>
      <c r="P90" s="511">
        <f t="shared" si="75"/>
        <v>0</v>
      </c>
      <c r="Q90" s="512" t="str">
        <f t="shared" si="76"/>
        <v/>
      </c>
      <c r="R90" s="3"/>
      <c r="S90" s="3"/>
      <c r="T90" s="511">
        <f t="shared" si="77"/>
        <v>0</v>
      </c>
      <c r="U90" s="512" t="str">
        <f t="shared" si="78"/>
        <v/>
      </c>
      <c r="V90" s="3"/>
      <c r="W90" s="3"/>
      <c r="X90" s="511">
        <f t="shared" si="79"/>
        <v>0</v>
      </c>
      <c r="Y90" s="512" t="str">
        <f t="shared" si="80"/>
        <v/>
      </c>
      <c r="Z90" s="3"/>
      <c r="AA90" s="3"/>
      <c r="AB90" s="511">
        <f t="shared" si="81"/>
        <v>0</v>
      </c>
      <c r="AC90" s="512" t="str">
        <f t="shared" si="82"/>
        <v/>
      </c>
      <c r="AD90" s="3"/>
      <c r="AE90" s="3"/>
      <c r="AF90" s="511">
        <f t="shared" si="83"/>
        <v>0</v>
      </c>
      <c r="AG90" s="512" t="str">
        <f t="shared" si="84"/>
        <v/>
      </c>
      <c r="AH90" s="3"/>
      <c r="AI90" s="3"/>
      <c r="AJ90" s="511">
        <f t="shared" si="85"/>
        <v>0</v>
      </c>
      <c r="AK90" s="512" t="str">
        <f t="shared" si="86"/>
        <v/>
      </c>
      <c r="AL90" s="3"/>
      <c r="AM90" s="3"/>
      <c r="AN90" s="511">
        <f t="shared" si="87"/>
        <v>0</v>
      </c>
      <c r="AO90" s="512" t="str">
        <f t="shared" si="88"/>
        <v/>
      </c>
      <c r="AP90" s="3"/>
      <c r="AQ90" s="3"/>
      <c r="AR90" s="511">
        <f t="shared" si="89"/>
        <v>0</v>
      </c>
      <c r="AS90" s="512" t="str">
        <f t="shared" si="90"/>
        <v/>
      </c>
      <c r="AT90" s="3"/>
      <c r="AU90" s="3"/>
      <c r="AV90" s="511">
        <f t="shared" si="91"/>
        <v>0</v>
      </c>
      <c r="AW90" s="512" t="str">
        <f t="shared" si="92"/>
        <v/>
      </c>
      <c r="AX90" s="511">
        <f t="shared" si="138"/>
        <v>0</v>
      </c>
      <c r="AY90" s="511">
        <f t="shared" si="138"/>
        <v>0</v>
      </c>
      <c r="AZ90" s="511">
        <f t="shared" si="94"/>
        <v>0</v>
      </c>
      <c r="BA90" s="512" t="str">
        <f t="shared" si="95"/>
        <v/>
      </c>
      <c r="BB90" s="3"/>
      <c r="BC90" s="511">
        <f>500</f>
        <v>500</v>
      </c>
      <c r="BD90" s="511">
        <f t="shared" si="96"/>
        <v>-500</v>
      </c>
      <c r="BE90" s="512">
        <f t="shared" si="97"/>
        <v>0</v>
      </c>
      <c r="BF90" s="3"/>
      <c r="BG90" s="3"/>
      <c r="BH90" s="511">
        <f t="shared" si="98"/>
        <v>0</v>
      </c>
      <c r="BI90" s="512" t="str">
        <f t="shared" si="99"/>
        <v/>
      </c>
      <c r="BJ90" s="3"/>
      <c r="BK90" s="3"/>
      <c r="BL90" s="511">
        <f t="shared" si="100"/>
        <v>0</v>
      </c>
      <c r="BM90" s="512" t="str">
        <f t="shared" si="101"/>
        <v/>
      </c>
      <c r="BN90" s="3"/>
      <c r="BO90" s="3"/>
      <c r="BP90" s="511">
        <f t="shared" si="102"/>
        <v>0</v>
      </c>
      <c r="BQ90" s="512" t="str">
        <f t="shared" si="103"/>
        <v/>
      </c>
      <c r="BR90" s="511">
        <f t="shared" si="139"/>
        <v>0</v>
      </c>
      <c r="BS90" s="511">
        <f t="shared" si="139"/>
        <v>500</v>
      </c>
      <c r="BT90" s="511">
        <f t="shared" si="105"/>
        <v>-500</v>
      </c>
      <c r="BU90" s="512">
        <f t="shared" si="106"/>
        <v>0</v>
      </c>
      <c r="BV90" s="511">
        <f>2921.73</f>
        <v>2921.73</v>
      </c>
      <c r="BW90" s="3"/>
      <c r="BX90" s="511">
        <f t="shared" si="107"/>
        <v>2921.73</v>
      </c>
      <c r="BY90" s="512" t="str">
        <f t="shared" si="108"/>
        <v/>
      </c>
      <c r="BZ90" s="511">
        <f>12000</f>
        <v>12000</v>
      </c>
      <c r="CA90" s="3"/>
      <c r="CB90" s="511">
        <f t="shared" si="109"/>
        <v>12000</v>
      </c>
      <c r="CC90" s="512" t="str">
        <f t="shared" si="110"/>
        <v/>
      </c>
      <c r="CD90" s="3"/>
      <c r="CE90" s="3"/>
      <c r="CF90" s="511">
        <f t="shared" si="111"/>
        <v>0</v>
      </c>
      <c r="CG90" s="512" t="str">
        <f t="shared" si="112"/>
        <v/>
      </c>
      <c r="CH90" s="3"/>
      <c r="CI90" s="3"/>
      <c r="CJ90" s="511">
        <f t="shared" si="113"/>
        <v>0</v>
      </c>
      <c r="CK90" s="512" t="str">
        <f t="shared" si="114"/>
        <v/>
      </c>
      <c r="CL90" s="511">
        <f t="shared" si="140"/>
        <v>0</v>
      </c>
      <c r="CM90" s="511">
        <f t="shared" si="140"/>
        <v>0</v>
      </c>
      <c r="CN90" s="511">
        <f t="shared" si="116"/>
        <v>0</v>
      </c>
      <c r="CO90" s="512" t="str">
        <f t="shared" si="117"/>
        <v/>
      </c>
      <c r="CP90" s="3"/>
      <c r="CQ90" s="3"/>
      <c r="CR90" s="511">
        <f t="shared" si="118"/>
        <v>0</v>
      </c>
      <c r="CS90" s="512" t="str">
        <f t="shared" si="119"/>
        <v/>
      </c>
      <c r="CT90" s="3"/>
      <c r="CU90" s="3"/>
      <c r="CV90" s="511">
        <f t="shared" si="120"/>
        <v>0</v>
      </c>
      <c r="CW90" s="512" t="str">
        <f t="shared" si="121"/>
        <v/>
      </c>
      <c r="CX90" s="511">
        <f t="shared" si="141"/>
        <v>0</v>
      </c>
      <c r="CY90" s="511">
        <f t="shared" si="141"/>
        <v>0</v>
      </c>
      <c r="CZ90" s="511">
        <f t="shared" si="123"/>
        <v>0</v>
      </c>
      <c r="DA90" s="512" t="str">
        <f t="shared" si="124"/>
        <v/>
      </c>
      <c r="DB90" s="3"/>
      <c r="DC90" s="3"/>
      <c r="DD90" s="511">
        <f t="shared" si="125"/>
        <v>0</v>
      </c>
      <c r="DE90" s="512" t="str">
        <f t="shared" si="126"/>
        <v/>
      </c>
      <c r="DF90" s="3"/>
      <c r="DG90" s="3"/>
      <c r="DH90" s="511">
        <f t="shared" si="127"/>
        <v>0</v>
      </c>
      <c r="DI90" s="512" t="str">
        <f t="shared" si="128"/>
        <v/>
      </c>
      <c r="DJ90" s="511">
        <f t="shared" si="142"/>
        <v>0</v>
      </c>
      <c r="DK90" s="511">
        <f t="shared" si="142"/>
        <v>0</v>
      </c>
      <c r="DL90" s="511">
        <f t="shared" si="130"/>
        <v>0</v>
      </c>
      <c r="DM90" s="512" t="str">
        <f t="shared" si="131"/>
        <v/>
      </c>
      <c r="DN90" s="3"/>
      <c r="DO90" s="3"/>
      <c r="DP90" s="511">
        <f t="shared" si="132"/>
        <v>0</v>
      </c>
      <c r="DQ90" s="512" t="str">
        <f t="shared" si="133"/>
        <v/>
      </c>
      <c r="DR90" s="511">
        <f t="shared" si="143"/>
        <v>14970.73</v>
      </c>
      <c r="DS90" s="511">
        <f t="shared" si="144"/>
        <v>500</v>
      </c>
      <c r="DT90" s="511">
        <f t="shared" si="136"/>
        <v>14470.73</v>
      </c>
      <c r="DU90" s="512">
        <f t="shared" si="137"/>
        <v>29.941459999999999</v>
      </c>
    </row>
    <row r="91" spans="1:125" x14ac:dyDescent="0.25">
      <c r="A91" s="2" t="s">
        <v>98</v>
      </c>
      <c r="B91" s="3"/>
      <c r="C91" s="511">
        <f>10000</f>
        <v>10000</v>
      </c>
      <c r="D91" s="511">
        <f t="shared" si="69"/>
        <v>-10000</v>
      </c>
      <c r="E91" s="512">
        <f t="shared" si="70"/>
        <v>0</v>
      </c>
      <c r="F91" s="3"/>
      <c r="G91" s="511">
        <f>250</f>
        <v>250</v>
      </c>
      <c r="H91" s="511">
        <f t="shared" si="71"/>
        <v>-250</v>
      </c>
      <c r="I91" s="512">
        <f t="shared" si="72"/>
        <v>0</v>
      </c>
      <c r="J91" s="3"/>
      <c r="K91" s="3"/>
      <c r="L91" s="511">
        <f t="shared" si="73"/>
        <v>0</v>
      </c>
      <c r="M91" s="512" t="str">
        <f t="shared" si="74"/>
        <v/>
      </c>
      <c r="N91" s="3"/>
      <c r="O91" s="3"/>
      <c r="P91" s="511">
        <f t="shared" si="75"/>
        <v>0</v>
      </c>
      <c r="Q91" s="512" t="str">
        <f t="shared" si="76"/>
        <v/>
      </c>
      <c r="R91" s="3"/>
      <c r="S91" s="3"/>
      <c r="T91" s="511">
        <f t="shared" si="77"/>
        <v>0</v>
      </c>
      <c r="U91" s="512" t="str">
        <f t="shared" si="78"/>
        <v/>
      </c>
      <c r="V91" s="3"/>
      <c r="W91" s="3"/>
      <c r="X91" s="511">
        <f t="shared" si="79"/>
        <v>0</v>
      </c>
      <c r="Y91" s="512" t="str">
        <f t="shared" si="80"/>
        <v/>
      </c>
      <c r="Z91" s="3"/>
      <c r="AA91" s="3"/>
      <c r="AB91" s="511">
        <f t="shared" si="81"/>
        <v>0</v>
      </c>
      <c r="AC91" s="512" t="str">
        <f t="shared" si="82"/>
        <v/>
      </c>
      <c r="AD91" s="511">
        <f>262.75</f>
        <v>262.75</v>
      </c>
      <c r="AE91" s="3"/>
      <c r="AF91" s="511">
        <f t="shared" si="83"/>
        <v>262.75</v>
      </c>
      <c r="AG91" s="512" t="str">
        <f t="shared" si="84"/>
        <v/>
      </c>
      <c r="AH91" s="511">
        <f>38.49</f>
        <v>38.49</v>
      </c>
      <c r="AI91" s="3"/>
      <c r="AJ91" s="511">
        <f t="shared" si="85"/>
        <v>38.49</v>
      </c>
      <c r="AK91" s="512" t="str">
        <f t="shared" si="86"/>
        <v/>
      </c>
      <c r="AL91" s="3"/>
      <c r="AM91" s="3"/>
      <c r="AN91" s="511">
        <f t="shared" si="87"/>
        <v>0</v>
      </c>
      <c r="AO91" s="512" t="str">
        <f t="shared" si="88"/>
        <v/>
      </c>
      <c r="AP91" s="3"/>
      <c r="AQ91" s="3"/>
      <c r="AR91" s="511">
        <f t="shared" si="89"/>
        <v>0</v>
      </c>
      <c r="AS91" s="512" t="str">
        <f t="shared" si="90"/>
        <v/>
      </c>
      <c r="AT91" s="3"/>
      <c r="AU91" s="3"/>
      <c r="AV91" s="511">
        <f t="shared" si="91"/>
        <v>0</v>
      </c>
      <c r="AW91" s="512" t="str">
        <f t="shared" si="92"/>
        <v/>
      </c>
      <c r="AX91" s="511">
        <f t="shared" si="138"/>
        <v>301.24</v>
      </c>
      <c r="AY91" s="511">
        <f t="shared" si="138"/>
        <v>0</v>
      </c>
      <c r="AZ91" s="511">
        <f t="shared" si="94"/>
        <v>301.24</v>
      </c>
      <c r="BA91" s="512" t="str">
        <f t="shared" si="95"/>
        <v/>
      </c>
      <c r="BB91" s="3"/>
      <c r="BC91" s="511">
        <f>1365.61</f>
        <v>1365.61</v>
      </c>
      <c r="BD91" s="511">
        <f t="shared" si="96"/>
        <v>-1365.61</v>
      </c>
      <c r="BE91" s="512">
        <f t="shared" si="97"/>
        <v>0</v>
      </c>
      <c r="BF91" s="3"/>
      <c r="BG91" s="3"/>
      <c r="BH91" s="511">
        <f t="shared" si="98"/>
        <v>0</v>
      </c>
      <c r="BI91" s="512" t="str">
        <f t="shared" si="99"/>
        <v/>
      </c>
      <c r="BJ91" s="511">
        <f>446.79</f>
        <v>446.79</v>
      </c>
      <c r="BK91" s="3"/>
      <c r="BL91" s="511">
        <f t="shared" si="100"/>
        <v>446.79</v>
      </c>
      <c r="BM91" s="512" t="str">
        <f t="shared" si="101"/>
        <v/>
      </c>
      <c r="BN91" s="3"/>
      <c r="BO91" s="3"/>
      <c r="BP91" s="511">
        <f t="shared" si="102"/>
        <v>0</v>
      </c>
      <c r="BQ91" s="512" t="str">
        <f t="shared" si="103"/>
        <v/>
      </c>
      <c r="BR91" s="511">
        <f t="shared" si="139"/>
        <v>446.79</v>
      </c>
      <c r="BS91" s="511">
        <f t="shared" si="139"/>
        <v>1365.61</v>
      </c>
      <c r="BT91" s="511">
        <f t="shared" si="105"/>
        <v>-918.81999999999994</v>
      </c>
      <c r="BU91" s="512">
        <f t="shared" si="106"/>
        <v>0.32717247237498265</v>
      </c>
      <c r="BV91" s="3"/>
      <c r="BW91" s="3"/>
      <c r="BX91" s="511">
        <f t="shared" si="107"/>
        <v>0</v>
      </c>
      <c r="BY91" s="512" t="str">
        <f t="shared" si="108"/>
        <v/>
      </c>
      <c r="BZ91" s="3"/>
      <c r="CA91" s="3"/>
      <c r="CB91" s="511">
        <f t="shared" si="109"/>
        <v>0</v>
      </c>
      <c r="CC91" s="512" t="str">
        <f t="shared" si="110"/>
        <v/>
      </c>
      <c r="CD91" s="511">
        <f>1891.44</f>
        <v>1891.44</v>
      </c>
      <c r="CE91" s="3"/>
      <c r="CF91" s="511">
        <f t="shared" si="111"/>
        <v>1891.44</v>
      </c>
      <c r="CG91" s="512" t="str">
        <f t="shared" si="112"/>
        <v/>
      </c>
      <c r="CH91" s="511">
        <f>2225.36</f>
        <v>2225.36</v>
      </c>
      <c r="CI91" s="3"/>
      <c r="CJ91" s="511">
        <f t="shared" si="113"/>
        <v>2225.36</v>
      </c>
      <c r="CK91" s="512" t="str">
        <f t="shared" si="114"/>
        <v/>
      </c>
      <c r="CL91" s="511">
        <f t="shared" si="140"/>
        <v>4116.8</v>
      </c>
      <c r="CM91" s="511">
        <f t="shared" si="140"/>
        <v>0</v>
      </c>
      <c r="CN91" s="511">
        <f t="shared" si="116"/>
        <v>4116.8</v>
      </c>
      <c r="CO91" s="512" t="str">
        <f t="shared" si="117"/>
        <v/>
      </c>
      <c r="CP91" s="3"/>
      <c r="CQ91" s="3"/>
      <c r="CR91" s="511">
        <f t="shared" si="118"/>
        <v>0</v>
      </c>
      <c r="CS91" s="512" t="str">
        <f t="shared" si="119"/>
        <v/>
      </c>
      <c r="CT91" s="511">
        <f>1509.13</f>
        <v>1509.13</v>
      </c>
      <c r="CU91" s="3"/>
      <c r="CV91" s="511">
        <f t="shared" si="120"/>
        <v>1509.13</v>
      </c>
      <c r="CW91" s="512" t="str">
        <f t="shared" si="121"/>
        <v/>
      </c>
      <c r="CX91" s="511">
        <f t="shared" si="141"/>
        <v>1509.13</v>
      </c>
      <c r="CY91" s="511">
        <f t="shared" si="141"/>
        <v>0</v>
      </c>
      <c r="CZ91" s="511">
        <f t="shared" si="123"/>
        <v>1509.13</v>
      </c>
      <c r="DA91" s="512" t="str">
        <f t="shared" si="124"/>
        <v/>
      </c>
      <c r="DB91" s="511">
        <f>1563.61</f>
        <v>1563.61</v>
      </c>
      <c r="DC91" s="3"/>
      <c r="DD91" s="511">
        <f t="shared" si="125"/>
        <v>1563.61</v>
      </c>
      <c r="DE91" s="512" t="str">
        <f t="shared" si="126"/>
        <v/>
      </c>
      <c r="DF91" s="511">
        <f>673.47</f>
        <v>673.47</v>
      </c>
      <c r="DG91" s="3"/>
      <c r="DH91" s="511">
        <f t="shared" si="127"/>
        <v>673.47</v>
      </c>
      <c r="DI91" s="512" t="str">
        <f t="shared" si="128"/>
        <v/>
      </c>
      <c r="DJ91" s="511">
        <f t="shared" si="142"/>
        <v>2237.08</v>
      </c>
      <c r="DK91" s="511">
        <f t="shared" si="142"/>
        <v>0</v>
      </c>
      <c r="DL91" s="511">
        <f t="shared" si="130"/>
        <v>2237.08</v>
      </c>
      <c r="DM91" s="512" t="str">
        <f t="shared" si="131"/>
        <v/>
      </c>
      <c r="DN91" s="3"/>
      <c r="DO91" s="3"/>
      <c r="DP91" s="511">
        <f t="shared" si="132"/>
        <v>0</v>
      </c>
      <c r="DQ91" s="512" t="str">
        <f t="shared" si="133"/>
        <v/>
      </c>
      <c r="DR91" s="511">
        <f t="shared" si="143"/>
        <v>8611.0400000000009</v>
      </c>
      <c r="DS91" s="511">
        <f t="shared" si="144"/>
        <v>11615.61</v>
      </c>
      <c r="DT91" s="511">
        <f t="shared" si="136"/>
        <v>-3004.5699999999997</v>
      </c>
      <c r="DU91" s="512">
        <f t="shared" si="137"/>
        <v>0.74133342975530347</v>
      </c>
    </row>
    <row r="92" spans="1:125" x14ac:dyDescent="0.25">
      <c r="A92" s="2" t="s">
        <v>893</v>
      </c>
      <c r="B92" s="3"/>
      <c r="C92" s="3"/>
      <c r="D92" s="511">
        <f t="shared" si="69"/>
        <v>0</v>
      </c>
      <c r="E92" s="512" t="str">
        <f t="shared" si="70"/>
        <v/>
      </c>
      <c r="F92" s="3"/>
      <c r="G92" s="511">
        <f>9900</f>
        <v>9900</v>
      </c>
      <c r="H92" s="511">
        <f t="shared" si="71"/>
        <v>-9900</v>
      </c>
      <c r="I92" s="512">
        <f t="shared" si="72"/>
        <v>0</v>
      </c>
      <c r="J92" s="3"/>
      <c r="K92" s="3"/>
      <c r="L92" s="511">
        <f t="shared" si="73"/>
        <v>0</v>
      </c>
      <c r="M92" s="512" t="str">
        <f t="shared" si="74"/>
        <v/>
      </c>
      <c r="N92" s="3"/>
      <c r="O92" s="3"/>
      <c r="P92" s="511">
        <f t="shared" si="75"/>
        <v>0</v>
      </c>
      <c r="Q92" s="512" t="str">
        <f t="shared" si="76"/>
        <v/>
      </c>
      <c r="R92" s="3"/>
      <c r="S92" s="3"/>
      <c r="T92" s="511">
        <f t="shared" si="77"/>
        <v>0</v>
      </c>
      <c r="U92" s="512" t="str">
        <f t="shared" si="78"/>
        <v/>
      </c>
      <c r="V92" s="3"/>
      <c r="W92" s="3"/>
      <c r="X92" s="511">
        <f t="shared" si="79"/>
        <v>0</v>
      </c>
      <c r="Y92" s="512" t="str">
        <f t="shared" si="80"/>
        <v/>
      </c>
      <c r="Z92" s="3"/>
      <c r="AA92" s="3"/>
      <c r="AB92" s="511">
        <f t="shared" si="81"/>
        <v>0</v>
      </c>
      <c r="AC92" s="512" t="str">
        <f t="shared" si="82"/>
        <v/>
      </c>
      <c r="AD92" s="3"/>
      <c r="AE92" s="3"/>
      <c r="AF92" s="511">
        <f t="shared" si="83"/>
        <v>0</v>
      </c>
      <c r="AG92" s="512" t="str">
        <f t="shared" si="84"/>
        <v/>
      </c>
      <c r="AH92" s="3"/>
      <c r="AI92" s="3"/>
      <c r="AJ92" s="511">
        <f t="shared" si="85"/>
        <v>0</v>
      </c>
      <c r="AK92" s="512" t="str">
        <f t="shared" si="86"/>
        <v/>
      </c>
      <c r="AL92" s="3"/>
      <c r="AM92" s="3"/>
      <c r="AN92" s="511">
        <f t="shared" si="87"/>
        <v>0</v>
      </c>
      <c r="AO92" s="512" t="str">
        <f t="shared" si="88"/>
        <v/>
      </c>
      <c r="AP92" s="3"/>
      <c r="AQ92" s="3"/>
      <c r="AR92" s="511">
        <f t="shared" si="89"/>
        <v>0</v>
      </c>
      <c r="AS92" s="512" t="str">
        <f t="shared" si="90"/>
        <v/>
      </c>
      <c r="AT92" s="3"/>
      <c r="AU92" s="3"/>
      <c r="AV92" s="511">
        <f t="shared" si="91"/>
        <v>0</v>
      </c>
      <c r="AW92" s="512" t="str">
        <f t="shared" si="92"/>
        <v/>
      </c>
      <c r="AX92" s="511">
        <f t="shared" si="138"/>
        <v>0</v>
      </c>
      <c r="AY92" s="511">
        <f t="shared" si="138"/>
        <v>0</v>
      </c>
      <c r="AZ92" s="511">
        <f t="shared" si="94"/>
        <v>0</v>
      </c>
      <c r="BA92" s="512" t="str">
        <f t="shared" si="95"/>
        <v/>
      </c>
      <c r="BB92" s="3"/>
      <c r="BC92" s="3"/>
      <c r="BD92" s="511">
        <f t="shared" si="96"/>
        <v>0</v>
      </c>
      <c r="BE92" s="512" t="str">
        <f t="shared" si="97"/>
        <v/>
      </c>
      <c r="BF92" s="3"/>
      <c r="BG92" s="3"/>
      <c r="BH92" s="511">
        <f t="shared" si="98"/>
        <v>0</v>
      </c>
      <c r="BI92" s="512" t="str">
        <f t="shared" si="99"/>
        <v/>
      </c>
      <c r="BJ92" s="3"/>
      <c r="BK92" s="3"/>
      <c r="BL92" s="511">
        <f t="shared" si="100"/>
        <v>0</v>
      </c>
      <c r="BM92" s="512" t="str">
        <f t="shared" si="101"/>
        <v/>
      </c>
      <c r="BN92" s="3"/>
      <c r="BO92" s="3"/>
      <c r="BP92" s="511">
        <f t="shared" si="102"/>
        <v>0</v>
      </c>
      <c r="BQ92" s="512" t="str">
        <f t="shared" si="103"/>
        <v/>
      </c>
      <c r="BR92" s="511">
        <f t="shared" si="139"/>
        <v>0</v>
      </c>
      <c r="BS92" s="511">
        <f t="shared" si="139"/>
        <v>0</v>
      </c>
      <c r="BT92" s="511">
        <f t="shared" si="105"/>
        <v>0</v>
      </c>
      <c r="BU92" s="512" t="str">
        <f t="shared" si="106"/>
        <v/>
      </c>
      <c r="BV92" s="3"/>
      <c r="BW92" s="3"/>
      <c r="BX92" s="511">
        <f t="shared" si="107"/>
        <v>0</v>
      </c>
      <c r="BY92" s="512" t="str">
        <f t="shared" si="108"/>
        <v/>
      </c>
      <c r="BZ92" s="3"/>
      <c r="CA92" s="3"/>
      <c r="CB92" s="511">
        <f t="shared" si="109"/>
        <v>0</v>
      </c>
      <c r="CC92" s="512" t="str">
        <f t="shared" si="110"/>
        <v/>
      </c>
      <c r="CD92" s="3"/>
      <c r="CE92" s="3"/>
      <c r="CF92" s="511">
        <f t="shared" si="111"/>
        <v>0</v>
      </c>
      <c r="CG92" s="512" t="str">
        <f t="shared" si="112"/>
        <v/>
      </c>
      <c r="CH92" s="3"/>
      <c r="CI92" s="3"/>
      <c r="CJ92" s="511">
        <f t="shared" si="113"/>
        <v>0</v>
      </c>
      <c r="CK92" s="512" t="str">
        <f t="shared" si="114"/>
        <v/>
      </c>
      <c r="CL92" s="511">
        <f t="shared" si="140"/>
        <v>0</v>
      </c>
      <c r="CM92" s="511">
        <f t="shared" si="140"/>
        <v>0</v>
      </c>
      <c r="CN92" s="511">
        <f t="shared" si="116"/>
        <v>0</v>
      </c>
      <c r="CO92" s="512" t="str">
        <f t="shared" si="117"/>
        <v/>
      </c>
      <c r="CP92" s="3"/>
      <c r="CQ92" s="3"/>
      <c r="CR92" s="511">
        <f t="shared" si="118"/>
        <v>0</v>
      </c>
      <c r="CS92" s="512" t="str">
        <f t="shared" si="119"/>
        <v/>
      </c>
      <c r="CT92" s="3"/>
      <c r="CU92" s="3"/>
      <c r="CV92" s="511">
        <f t="shared" si="120"/>
        <v>0</v>
      </c>
      <c r="CW92" s="512" t="str">
        <f t="shared" si="121"/>
        <v/>
      </c>
      <c r="CX92" s="511">
        <f t="shared" si="141"/>
        <v>0</v>
      </c>
      <c r="CY92" s="511">
        <f t="shared" si="141"/>
        <v>0</v>
      </c>
      <c r="CZ92" s="511">
        <f t="shared" si="123"/>
        <v>0</v>
      </c>
      <c r="DA92" s="512" t="str">
        <f t="shared" si="124"/>
        <v/>
      </c>
      <c r="DB92" s="3"/>
      <c r="DC92" s="3"/>
      <c r="DD92" s="511">
        <f t="shared" si="125"/>
        <v>0</v>
      </c>
      <c r="DE92" s="512" t="str">
        <f t="shared" si="126"/>
        <v/>
      </c>
      <c r="DF92" s="3"/>
      <c r="DG92" s="3"/>
      <c r="DH92" s="511">
        <f t="shared" si="127"/>
        <v>0</v>
      </c>
      <c r="DI92" s="512" t="str">
        <f t="shared" si="128"/>
        <v/>
      </c>
      <c r="DJ92" s="511">
        <f t="shared" si="142"/>
        <v>0</v>
      </c>
      <c r="DK92" s="511">
        <f t="shared" si="142"/>
        <v>0</v>
      </c>
      <c r="DL92" s="511">
        <f t="shared" si="130"/>
        <v>0</v>
      </c>
      <c r="DM92" s="512" t="str">
        <f t="shared" si="131"/>
        <v/>
      </c>
      <c r="DN92" s="3"/>
      <c r="DO92" s="3"/>
      <c r="DP92" s="511">
        <f t="shared" si="132"/>
        <v>0</v>
      </c>
      <c r="DQ92" s="512" t="str">
        <f t="shared" si="133"/>
        <v/>
      </c>
      <c r="DR92" s="511">
        <f t="shared" si="143"/>
        <v>0</v>
      </c>
      <c r="DS92" s="511">
        <f t="shared" si="144"/>
        <v>9900</v>
      </c>
      <c r="DT92" s="511">
        <f t="shared" si="136"/>
        <v>-9900</v>
      </c>
      <c r="DU92" s="512">
        <f t="shared" si="137"/>
        <v>0</v>
      </c>
    </row>
    <row r="93" spans="1:125" x14ac:dyDescent="0.25">
      <c r="A93" s="2" t="s">
        <v>100</v>
      </c>
      <c r="B93" s="511">
        <f>957.38</f>
        <v>957.38</v>
      </c>
      <c r="C93" s="3"/>
      <c r="D93" s="511">
        <f t="shared" si="69"/>
        <v>957.38</v>
      </c>
      <c r="E93" s="512" t="str">
        <f t="shared" si="70"/>
        <v/>
      </c>
      <c r="F93" s="3"/>
      <c r="G93" s="3"/>
      <c r="H93" s="511">
        <f t="shared" si="71"/>
        <v>0</v>
      </c>
      <c r="I93" s="512" t="str">
        <f t="shared" si="72"/>
        <v/>
      </c>
      <c r="J93" s="511">
        <f>1552.5</f>
        <v>1552.5</v>
      </c>
      <c r="K93" s="3"/>
      <c r="L93" s="511">
        <f t="shared" si="73"/>
        <v>1552.5</v>
      </c>
      <c r="M93" s="512" t="str">
        <f t="shared" si="74"/>
        <v/>
      </c>
      <c r="N93" s="3"/>
      <c r="O93" s="3"/>
      <c r="P93" s="511">
        <f t="shared" si="75"/>
        <v>0</v>
      </c>
      <c r="Q93" s="512" t="str">
        <f t="shared" si="76"/>
        <v/>
      </c>
      <c r="R93" s="3"/>
      <c r="S93" s="3"/>
      <c r="T93" s="511">
        <f t="shared" si="77"/>
        <v>0</v>
      </c>
      <c r="U93" s="512" t="str">
        <f t="shared" si="78"/>
        <v/>
      </c>
      <c r="V93" s="3"/>
      <c r="W93" s="3"/>
      <c r="X93" s="511">
        <f t="shared" si="79"/>
        <v>0</v>
      </c>
      <c r="Y93" s="512" t="str">
        <f t="shared" si="80"/>
        <v/>
      </c>
      <c r="Z93" s="3"/>
      <c r="AA93" s="3"/>
      <c r="AB93" s="511">
        <f t="shared" si="81"/>
        <v>0</v>
      </c>
      <c r="AC93" s="512" t="str">
        <f t="shared" si="82"/>
        <v/>
      </c>
      <c r="AD93" s="3"/>
      <c r="AE93" s="3"/>
      <c r="AF93" s="511">
        <f t="shared" si="83"/>
        <v>0</v>
      </c>
      <c r="AG93" s="512" t="str">
        <f t="shared" si="84"/>
        <v/>
      </c>
      <c r="AH93" s="511">
        <f>106.69</f>
        <v>106.69</v>
      </c>
      <c r="AI93" s="3"/>
      <c r="AJ93" s="511">
        <f t="shared" si="85"/>
        <v>106.69</v>
      </c>
      <c r="AK93" s="512" t="str">
        <f t="shared" si="86"/>
        <v/>
      </c>
      <c r="AL93" s="3"/>
      <c r="AM93" s="3"/>
      <c r="AN93" s="511">
        <f t="shared" si="87"/>
        <v>0</v>
      </c>
      <c r="AO93" s="512" t="str">
        <f t="shared" si="88"/>
        <v/>
      </c>
      <c r="AP93" s="3"/>
      <c r="AQ93" s="3"/>
      <c r="AR93" s="511">
        <f t="shared" si="89"/>
        <v>0</v>
      </c>
      <c r="AS93" s="512" t="str">
        <f t="shared" si="90"/>
        <v/>
      </c>
      <c r="AT93" s="3"/>
      <c r="AU93" s="3"/>
      <c r="AV93" s="511">
        <f t="shared" si="91"/>
        <v>0</v>
      </c>
      <c r="AW93" s="512" t="str">
        <f t="shared" si="92"/>
        <v/>
      </c>
      <c r="AX93" s="511">
        <f t="shared" si="138"/>
        <v>106.69</v>
      </c>
      <c r="AY93" s="511">
        <f t="shared" si="138"/>
        <v>0</v>
      </c>
      <c r="AZ93" s="511">
        <f t="shared" si="94"/>
        <v>106.69</v>
      </c>
      <c r="BA93" s="512" t="str">
        <f t="shared" si="95"/>
        <v/>
      </c>
      <c r="BB93" s="3"/>
      <c r="BC93" s="3"/>
      <c r="BD93" s="511">
        <f t="shared" si="96"/>
        <v>0</v>
      </c>
      <c r="BE93" s="512" t="str">
        <f t="shared" si="97"/>
        <v/>
      </c>
      <c r="BF93" s="3"/>
      <c r="BG93" s="3"/>
      <c r="BH93" s="511">
        <f t="shared" si="98"/>
        <v>0</v>
      </c>
      <c r="BI93" s="512" t="str">
        <f t="shared" si="99"/>
        <v/>
      </c>
      <c r="BJ93" s="511">
        <f>100</f>
        <v>100</v>
      </c>
      <c r="BK93" s="3"/>
      <c r="BL93" s="511">
        <f t="shared" si="100"/>
        <v>100</v>
      </c>
      <c r="BM93" s="512" t="str">
        <f t="shared" si="101"/>
        <v/>
      </c>
      <c r="BN93" s="3"/>
      <c r="BO93" s="3"/>
      <c r="BP93" s="511">
        <f t="shared" si="102"/>
        <v>0</v>
      </c>
      <c r="BQ93" s="512" t="str">
        <f t="shared" si="103"/>
        <v/>
      </c>
      <c r="BR93" s="511">
        <f t="shared" si="139"/>
        <v>100</v>
      </c>
      <c r="BS93" s="511">
        <f t="shared" si="139"/>
        <v>0</v>
      </c>
      <c r="BT93" s="511">
        <f t="shared" si="105"/>
        <v>100</v>
      </c>
      <c r="BU93" s="512" t="str">
        <f t="shared" si="106"/>
        <v/>
      </c>
      <c r="BV93" s="3"/>
      <c r="BW93" s="3"/>
      <c r="BX93" s="511">
        <f t="shared" si="107"/>
        <v>0</v>
      </c>
      <c r="BY93" s="512" t="str">
        <f t="shared" si="108"/>
        <v/>
      </c>
      <c r="BZ93" s="3"/>
      <c r="CA93" s="3"/>
      <c r="CB93" s="511">
        <f t="shared" si="109"/>
        <v>0</v>
      </c>
      <c r="CC93" s="512" t="str">
        <f t="shared" si="110"/>
        <v/>
      </c>
      <c r="CD93" s="3"/>
      <c r="CE93" s="3"/>
      <c r="CF93" s="511">
        <f t="shared" si="111"/>
        <v>0</v>
      </c>
      <c r="CG93" s="512" t="str">
        <f t="shared" si="112"/>
        <v/>
      </c>
      <c r="CH93" s="3"/>
      <c r="CI93" s="3"/>
      <c r="CJ93" s="511">
        <f t="shared" si="113"/>
        <v>0</v>
      </c>
      <c r="CK93" s="512" t="str">
        <f t="shared" si="114"/>
        <v/>
      </c>
      <c r="CL93" s="511">
        <f t="shared" si="140"/>
        <v>0</v>
      </c>
      <c r="CM93" s="511">
        <f t="shared" si="140"/>
        <v>0</v>
      </c>
      <c r="CN93" s="511">
        <f t="shared" si="116"/>
        <v>0</v>
      </c>
      <c r="CO93" s="512" t="str">
        <f t="shared" si="117"/>
        <v/>
      </c>
      <c r="CP93" s="3"/>
      <c r="CQ93" s="3"/>
      <c r="CR93" s="511">
        <f t="shared" si="118"/>
        <v>0</v>
      </c>
      <c r="CS93" s="512" t="str">
        <f t="shared" si="119"/>
        <v/>
      </c>
      <c r="CT93" s="3"/>
      <c r="CU93" s="3"/>
      <c r="CV93" s="511">
        <f t="shared" si="120"/>
        <v>0</v>
      </c>
      <c r="CW93" s="512" t="str">
        <f t="shared" si="121"/>
        <v/>
      </c>
      <c r="CX93" s="511">
        <f t="shared" si="141"/>
        <v>0</v>
      </c>
      <c r="CY93" s="511">
        <f t="shared" si="141"/>
        <v>0</v>
      </c>
      <c r="CZ93" s="511">
        <f t="shared" si="123"/>
        <v>0</v>
      </c>
      <c r="DA93" s="512" t="str">
        <f t="shared" si="124"/>
        <v/>
      </c>
      <c r="DB93" s="3"/>
      <c r="DC93" s="3"/>
      <c r="DD93" s="511">
        <f t="shared" si="125"/>
        <v>0</v>
      </c>
      <c r="DE93" s="512" t="str">
        <f t="shared" si="126"/>
        <v/>
      </c>
      <c r="DF93" s="3"/>
      <c r="DG93" s="3"/>
      <c r="DH93" s="511">
        <f t="shared" si="127"/>
        <v>0</v>
      </c>
      <c r="DI93" s="512" t="str">
        <f t="shared" si="128"/>
        <v/>
      </c>
      <c r="DJ93" s="511">
        <f t="shared" si="142"/>
        <v>0</v>
      </c>
      <c r="DK93" s="511">
        <f t="shared" si="142"/>
        <v>0</v>
      </c>
      <c r="DL93" s="511">
        <f t="shared" si="130"/>
        <v>0</v>
      </c>
      <c r="DM93" s="512" t="str">
        <f t="shared" si="131"/>
        <v/>
      </c>
      <c r="DN93" s="3"/>
      <c r="DO93" s="3"/>
      <c r="DP93" s="511">
        <f t="shared" si="132"/>
        <v>0</v>
      </c>
      <c r="DQ93" s="512" t="str">
        <f t="shared" si="133"/>
        <v/>
      </c>
      <c r="DR93" s="511">
        <f t="shared" si="143"/>
        <v>2716.57</v>
      </c>
      <c r="DS93" s="511">
        <f t="shared" si="144"/>
        <v>0</v>
      </c>
      <c r="DT93" s="511">
        <f t="shared" si="136"/>
        <v>2716.57</v>
      </c>
      <c r="DU93" s="512" t="str">
        <f t="shared" si="137"/>
        <v/>
      </c>
    </row>
    <row r="94" spans="1:125" x14ac:dyDescent="0.25">
      <c r="A94" s="2" t="s">
        <v>735</v>
      </c>
      <c r="B94" s="3"/>
      <c r="C94" s="3"/>
      <c r="D94" s="511">
        <f t="shared" si="69"/>
        <v>0</v>
      </c>
      <c r="E94" s="512" t="str">
        <f t="shared" si="70"/>
        <v/>
      </c>
      <c r="F94" s="511">
        <f>623.59</f>
        <v>623.59</v>
      </c>
      <c r="G94" s="3"/>
      <c r="H94" s="511">
        <f t="shared" si="71"/>
        <v>623.59</v>
      </c>
      <c r="I94" s="512" t="str">
        <f t="shared" si="72"/>
        <v/>
      </c>
      <c r="J94" s="3"/>
      <c r="K94" s="3"/>
      <c r="L94" s="511">
        <f t="shared" si="73"/>
        <v>0</v>
      </c>
      <c r="M94" s="512" t="str">
        <f t="shared" si="74"/>
        <v/>
      </c>
      <c r="N94" s="3"/>
      <c r="O94" s="3"/>
      <c r="P94" s="511">
        <f t="shared" si="75"/>
        <v>0</v>
      </c>
      <c r="Q94" s="512" t="str">
        <f t="shared" si="76"/>
        <v/>
      </c>
      <c r="R94" s="3"/>
      <c r="S94" s="3"/>
      <c r="T94" s="511">
        <f t="shared" si="77"/>
        <v>0</v>
      </c>
      <c r="U94" s="512" t="str">
        <f t="shared" si="78"/>
        <v/>
      </c>
      <c r="V94" s="3"/>
      <c r="W94" s="3"/>
      <c r="X94" s="511">
        <f t="shared" si="79"/>
        <v>0</v>
      </c>
      <c r="Y94" s="512" t="str">
        <f t="shared" si="80"/>
        <v/>
      </c>
      <c r="Z94" s="3"/>
      <c r="AA94" s="3"/>
      <c r="AB94" s="511">
        <f t="shared" si="81"/>
        <v>0</v>
      </c>
      <c r="AC94" s="512" t="str">
        <f t="shared" si="82"/>
        <v/>
      </c>
      <c r="AD94" s="3"/>
      <c r="AE94" s="3"/>
      <c r="AF94" s="511">
        <f t="shared" si="83"/>
        <v>0</v>
      </c>
      <c r="AG94" s="512" t="str">
        <f t="shared" si="84"/>
        <v/>
      </c>
      <c r="AH94" s="3"/>
      <c r="AI94" s="3"/>
      <c r="AJ94" s="511">
        <f t="shared" si="85"/>
        <v>0</v>
      </c>
      <c r="AK94" s="512" t="str">
        <f t="shared" si="86"/>
        <v/>
      </c>
      <c r="AL94" s="3"/>
      <c r="AM94" s="3"/>
      <c r="AN94" s="511">
        <f t="shared" si="87"/>
        <v>0</v>
      </c>
      <c r="AO94" s="512" t="str">
        <f t="shared" si="88"/>
        <v/>
      </c>
      <c r="AP94" s="3"/>
      <c r="AQ94" s="3"/>
      <c r="AR94" s="511">
        <f t="shared" si="89"/>
        <v>0</v>
      </c>
      <c r="AS94" s="512" t="str">
        <f t="shared" si="90"/>
        <v/>
      </c>
      <c r="AT94" s="3"/>
      <c r="AU94" s="3"/>
      <c r="AV94" s="511">
        <f t="shared" si="91"/>
        <v>0</v>
      </c>
      <c r="AW94" s="512" t="str">
        <f t="shared" si="92"/>
        <v/>
      </c>
      <c r="AX94" s="511">
        <f t="shared" si="138"/>
        <v>0</v>
      </c>
      <c r="AY94" s="511">
        <f t="shared" si="138"/>
        <v>0</v>
      </c>
      <c r="AZ94" s="511">
        <f t="shared" si="94"/>
        <v>0</v>
      </c>
      <c r="BA94" s="512" t="str">
        <f t="shared" si="95"/>
        <v/>
      </c>
      <c r="BB94" s="3"/>
      <c r="BC94" s="3"/>
      <c r="BD94" s="511">
        <f t="shared" si="96"/>
        <v>0</v>
      </c>
      <c r="BE94" s="512" t="str">
        <f t="shared" si="97"/>
        <v/>
      </c>
      <c r="BF94" s="3"/>
      <c r="BG94" s="3"/>
      <c r="BH94" s="511">
        <f t="shared" si="98"/>
        <v>0</v>
      </c>
      <c r="BI94" s="512" t="str">
        <f t="shared" si="99"/>
        <v/>
      </c>
      <c r="BJ94" s="3"/>
      <c r="BK94" s="3"/>
      <c r="BL94" s="511">
        <f t="shared" si="100"/>
        <v>0</v>
      </c>
      <c r="BM94" s="512" t="str">
        <f t="shared" si="101"/>
        <v/>
      </c>
      <c r="BN94" s="3"/>
      <c r="BO94" s="3"/>
      <c r="BP94" s="511">
        <f t="shared" si="102"/>
        <v>0</v>
      </c>
      <c r="BQ94" s="512" t="str">
        <f t="shared" si="103"/>
        <v/>
      </c>
      <c r="BR94" s="511">
        <f t="shared" si="139"/>
        <v>0</v>
      </c>
      <c r="BS94" s="511">
        <f t="shared" si="139"/>
        <v>0</v>
      </c>
      <c r="BT94" s="511">
        <f t="shared" si="105"/>
        <v>0</v>
      </c>
      <c r="BU94" s="512" t="str">
        <f t="shared" si="106"/>
        <v/>
      </c>
      <c r="BV94" s="3"/>
      <c r="BW94" s="3"/>
      <c r="BX94" s="511">
        <f t="shared" si="107"/>
        <v>0</v>
      </c>
      <c r="BY94" s="512" t="str">
        <f t="shared" si="108"/>
        <v/>
      </c>
      <c r="BZ94" s="3"/>
      <c r="CA94" s="3"/>
      <c r="CB94" s="511">
        <f t="shared" si="109"/>
        <v>0</v>
      </c>
      <c r="CC94" s="512" t="str">
        <f t="shared" si="110"/>
        <v/>
      </c>
      <c r="CD94" s="3"/>
      <c r="CE94" s="3"/>
      <c r="CF94" s="511">
        <f t="shared" si="111"/>
        <v>0</v>
      </c>
      <c r="CG94" s="512" t="str">
        <f t="shared" si="112"/>
        <v/>
      </c>
      <c r="CH94" s="3"/>
      <c r="CI94" s="3"/>
      <c r="CJ94" s="511">
        <f t="shared" si="113"/>
        <v>0</v>
      </c>
      <c r="CK94" s="512" t="str">
        <f t="shared" si="114"/>
        <v/>
      </c>
      <c r="CL94" s="511">
        <f t="shared" si="140"/>
        <v>0</v>
      </c>
      <c r="CM94" s="511">
        <f t="shared" si="140"/>
        <v>0</v>
      </c>
      <c r="CN94" s="511">
        <f t="shared" si="116"/>
        <v>0</v>
      </c>
      <c r="CO94" s="512" t="str">
        <f t="shared" si="117"/>
        <v/>
      </c>
      <c r="CP94" s="3"/>
      <c r="CQ94" s="3"/>
      <c r="CR94" s="511">
        <f t="shared" si="118"/>
        <v>0</v>
      </c>
      <c r="CS94" s="512" t="str">
        <f t="shared" si="119"/>
        <v/>
      </c>
      <c r="CT94" s="3"/>
      <c r="CU94" s="3"/>
      <c r="CV94" s="511">
        <f t="shared" si="120"/>
        <v>0</v>
      </c>
      <c r="CW94" s="512" t="str">
        <f t="shared" si="121"/>
        <v/>
      </c>
      <c r="CX94" s="511">
        <f t="shared" si="141"/>
        <v>0</v>
      </c>
      <c r="CY94" s="511">
        <f t="shared" si="141"/>
        <v>0</v>
      </c>
      <c r="CZ94" s="511">
        <f t="shared" si="123"/>
        <v>0</v>
      </c>
      <c r="DA94" s="512" t="str">
        <f t="shared" si="124"/>
        <v/>
      </c>
      <c r="DB94" s="3"/>
      <c r="DC94" s="3"/>
      <c r="DD94" s="511">
        <f t="shared" si="125"/>
        <v>0</v>
      </c>
      <c r="DE94" s="512" t="str">
        <f t="shared" si="126"/>
        <v/>
      </c>
      <c r="DF94" s="3"/>
      <c r="DG94" s="3"/>
      <c r="DH94" s="511">
        <f t="shared" si="127"/>
        <v>0</v>
      </c>
      <c r="DI94" s="512" t="str">
        <f t="shared" si="128"/>
        <v/>
      </c>
      <c r="DJ94" s="511">
        <f t="shared" si="142"/>
        <v>0</v>
      </c>
      <c r="DK94" s="511">
        <f t="shared" si="142"/>
        <v>0</v>
      </c>
      <c r="DL94" s="511">
        <f t="shared" si="130"/>
        <v>0</v>
      </c>
      <c r="DM94" s="512" t="str">
        <f t="shared" si="131"/>
        <v/>
      </c>
      <c r="DN94" s="3"/>
      <c r="DO94" s="3"/>
      <c r="DP94" s="511">
        <f t="shared" si="132"/>
        <v>0</v>
      </c>
      <c r="DQ94" s="512" t="str">
        <f t="shared" si="133"/>
        <v/>
      </c>
      <c r="DR94" s="511">
        <f t="shared" si="143"/>
        <v>623.59</v>
      </c>
      <c r="DS94" s="511">
        <f t="shared" si="144"/>
        <v>0</v>
      </c>
      <c r="DT94" s="511">
        <f t="shared" si="136"/>
        <v>623.59</v>
      </c>
      <c r="DU94" s="512" t="str">
        <f t="shared" si="137"/>
        <v/>
      </c>
    </row>
    <row r="95" spans="1:125" x14ac:dyDescent="0.25">
      <c r="A95" s="2" t="s">
        <v>894</v>
      </c>
      <c r="B95" s="513">
        <f>(((((B89)+(B90))+(B91))+(B92))+(B93))+(B94)</f>
        <v>957.38</v>
      </c>
      <c r="C95" s="513">
        <f>(((((C89)+(C90))+(C91))+(C92))+(C93))+(C94)</f>
        <v>10000</v>
      </c>
      <c r="D95" s="513">
        <f t="shared" si="69"/>
        <v>-9042.6200000000008</v>
      </c>
      <c r="E95" s="514">
        <f t="shared" si="70"/>
        <v>9.5738000000000004E-2</v>
      </c>
      <c r="F95" s="513">
        <f>(((((F89)+(F90))+(F91))+(F92))+(F93))+(F94)</f>
        <v>672.59</v>
      </c>
      <c r="G95" s="513">
        <f>(((((G89)+(G90))+(G91))+(G92))+(G93))+(G94)</f>
        <v>10150</v>
      </c>
      <c r="H95" s="513">
        <f t="shared" si="71"/>
        <v>-9477.41</v>
      </c>
      <c r="I95" s="514">
        <f t="shared" si="72"/>
        <v>6.6265024630541874E-2</v>
      </c>
      <c r="J95" s="513">
        <f>(((((J89)+(J90))+(J91))+(J92))+(J93))+(J94)</f>
        <v>1552.5</v>
      </c>
      <c r="K95" s="513">
        <f>(((((K89)+(K90))+(K91))+(K92))+(K93))+(K94)</f>
        <v>0</v>
      </c>
      <c r="L95" s="513">
        <f t="shared" si="73"/>
        <v>1552.5</v>
      </c>
      <c r="M95" s="514" t="str">
        <f t="shared" si="74"/>
        <v/>
      </c>
      <c r="N95" s="513">
        <f>(((((N89)+(N90))+(N91))+(N92))+(N93))+(N94)</f>
        <v>0</v>
      </c>
      <c r="O95" s="513">
        <f>(((((O89)+(O90))+(O91))+(O92))+(O93))+(O94)</f>
        <v>0</v>
      </c>
      <c r="P95" s="513">
        <f t="shared" si="75"/>
        <v>0</v>
      </c>
      <c r="Q95" s="514" t="str">
        <f t="shared" si="76"/>
        <v/>
      </c>
      <c r="R95" s="513">
        <f>(((((R89)+(R90))+(R91))+(R92))+(R93))+(R94)</f>
        <v>0</v>
      </c>
      <c r="S95" s="513">
        <f>(((((S89)+(S90))+(S91))+(S92))+(S93))+(S94)</f>
        <v>0</v>
      </c>
      <c r="T95" s="513">
        <f t="shared" si="77"/>
        <v>0</v>
      </c>
      <c r="U95" s="514" t="str">
        <f t="shared" si="78"/>
        <v/>
      </c>
      <c r="V95" s="513">
        <f>(((((V89)+(V90))+(V91))+(V92))+(V93))+(V94)</f>
        <v>0</v>
      </c>
      <c r="W95" s="513">
        <f>(((((W89)+(W90))+(W91))+(W92))+(W93))+(W94)</f>
        <v>0</v>
      </c>
      <c r="X95" s="513">
        <f t="shared" si="79"/>
        <v>0</v>
      </c>
      <c r="Y95" s="514" t="str">
        <f t="shared" si="80"/>
        <v/>
      </c>
      <c r="Z95" s="513">
        <f>(((((Z89)+(Z90))+(Z91))+(Z92))+(Z93))+(Z94)</f>
        <v>0</v>
      </c>
      <c r="AA95" s="513">
        <f>(((((AA89)+(AA90))+(AA91))+(AA92))+(AA93))+(AA94)</f>
        <v>0</v>
      </c>
      <c r="AB95" s="513">
        <f t="shared" si="81"/>
        <v>0</v>
      </c>
      <c r="AC95" s="514" t="str">
        <f t="shared" si="82"/>
        <v/>
      </c>
      <c r="AD95" s="513">
        <f>(((((AD89)+(AD90))+(AD91))+(AD92))+(AD93))+(AD94)</f>
        <v>262.75</v>
      </c>
      <c r="AE95" s="513">
        <f>(((((AE89)+(AE90))+(AE91))+(AE92))+(AE93))+(AE94)</f>
        <v>0</v>
      </c>
      <c r="AF95" s="513">
        <f t="shared" si="83"/>
        <v>262.75</v>
      </c>
      <c r="AG95" s="514" t="str">
        <f t="shared" si="84"/>
        <v/>
      </c>
      <c r="AH95" s="513">
        <f>(((((AH89)+(AH90))+(AH91))+(AH92))+(AH93))+(AH94)</f>
        <v>145.18</v>
      </c>
      <c r="AI95" s="513">
        <f>(((((AI89)+(AI90))+(AI91))+(AI92))+(AI93))+(AI94)</f>
        <v>0</v>
      </c>
      <c r="AJ95" s="513">
        <f t="shared" si="85"/>
        <v>145.18</v>
      </c>
      <c r="AK95" s="514" t="str">
        <f t="shared" si="86"/>
        <v/>
      </c>
      <c r="AL95" s="513">
        <f>(((((AL89)+(AL90))+(AL91))+(AL92))+(AL93))+(AL94)</f>
        <v>0</v>
      </c>
      <c r="AM95" s="513">
        <f>(((((AM89)+(AM90))+(AM91))+(AM92))+(AM93))+(AM94)</f>
        <v>0</v>
      </c>
      <c r="AN95" s="513">
        <f t="shared" si="87"/>
        <v>0</v>
      </c>
      <c r="AO95" s="514" t="str">
        <f t="shared" si="88"/>
        <v/>
      </c>
      <c r="AP95" s="513">
        <f>(((((AP89)+(AP90))+(AP91))+(AP92))+(AP93))+(AP94)</f>
        <v>0</v>
      </c>
      <c r="AQ95" s="513">
        <f>(((((AQ89)+(AQ90))+(AQ91))+(AQ92))+(AQ93))+(AQ94)</f>
        <v>0</v>
      </c>
      <c r="AR95" s="513">
        <f t="shared" si="89"/>
        <v>0</v>
      </c>
      <c r="AS95" s="514" t="str">
        <f t="shared" si="90"/>
        <v/>
      </c>
      <c r="AT95" s="513">
        <f>(((((AT89)+(AT90))+(AT91))+(AT92))+(AT93))+(AT94)</f>
        <v>0</v>
      </c>
      <c r="AU95" s="513">
        <f>(((((AU89)+(AU90))+(AU91))+(AU92))+(AU93))+(AU94)</f>
        <v>0</v>
      </c>
      <c r="AV95" s="513">
        <f t="shared" si="91"/>
        <v>0</v>
      </c>
      <c r="AW95" s="514" t="str">
        <f t="shared" si="92"/>
        <v/>
      </c>
      <c r="AX95" s="513">
        <f t="shared" si="138"/>
        <v>407.93</v>
      </c>
      <c r="AY95" s="513">
        <f t="shared" si="138"/>
        <v>0</v>
      </c>
      <c r="AZ95" s="513">
        <f t="shared" si="94"/>
        <v>407.93</v>
      </c>
      <c r="BA95" s="514" t="str">
        <f t="shared" si="95"/>
        <v/>
      </c>
      <c r="BB95" s="513">
        <f>(((((BB89)+(BB90))+(BB91))+(BB92))+(BB93))+(BB94)</f>
        <v>0</v>
      </c>
      <c r="BC95" s="513">
        <f>(((((BC89)+(BC90))+(BC91))+(BC92))+(BC93))+(BC94)</f>
        <v>1865.61</v>
      </c>
      <c r="BD95" s="513">
        <f t="shared" si="96"/>
        <v>-1865.61</v>
      </c>
      <c r="BE95" s="514">
        <f t="shared" si="97"/>
        <v>0</v>
      </c>
      <c r="BF95" s="513">
        <f>(((((BF89)+(BF90))+(BF91))+(BF92))+(BF93))+(BF94)</f>
        <v>0</v>
      </c>
      <c r="BG95" s="513">
        <f>(((((BG89)+(BG90))+(BG91))+(BG92))+(BG93))+(BG94)</f>
        <v>0</v>
      </c>
      <c r="BH95" s="513">
        <f t="shared" si="98"/>
        <v>0</v>
      </c>
      <c r="BI95" s="514" t="str">
        <f t="shared" si="99"/>
        <v/>
      </c>
      <c r="BJ95" s="513">
        <f>(((((BJ89)+(BJ90))+(BJ91))+(BJ92))+(BJ93))+(BJ94)</f>
        <v>546.79</v>
      </c>
      <c r="BK95" s="513">
        <f>(((((BK89)+(BK90))+(BK91))+(BK92))+(BK93))+(BK94)</f>
        <v>0</v>
      </c>
      <c r="BL95" s="513">
        <f t="shared" si="100"/>
        <v>546.79</v>
      </c>
      <c r="BM95" s="514" t="str">
        <f t="shared" si="101"/>
        <v/>
      </c>
      <c r="BN95" s="513">
        <f>(((((BN89)+(BN90))+(BN91))+(BN92))+(BN93))+(BN94)</f>
        <v>0</v>
      </c>
      <c r="BO95" s="513">
        <f>(((((BO89)+(BO90))+(BO91))+(BO92))+(BO93))+(BO94)</f>
        <v>0</v>
      </c>
      <c r="BP95" s="513">
        <f t="shared" si="102"/>
        <v>0</v>
      </c>
      <c r="BQ95" s="514" t="str">
        <f t="shared" si="103"/>
        <v/>
      </c>
      <c r="BR95" s="513">
        <f t="shared" si="139"/>
        <v>546.79</v>
      </c>
      <c r="BS95" s="513">
        <f t="shared" si="139"/>
        <v>1865.61</v>
      </c>
      <c r="BT95" s="513">
        <f t="shared" si="105"/>
        <v>-1318.82</v>
      </c>
      <c r="BU95" s="514">
        <f t="shared" si="106"/>
        <v>0.2930891236646459</v>
      </c>
      <c r="BV95" s="513">
        <f>(((((BV89)+(BV90))+(BV91))+(BV92))+(BV93))+(BV94)</f>
        <v>2921.73</v>
      </c>
      <c r="BW95" s="513">
        <f>(((((BW89)+(BW90))+(BW91))+(BW92))+(BW93))+(BW94)</f>
        <v>0</v>
      </c>
      <c r="BX95" s="513">
        <f t="shared" si="107"/>
        <v>2921.73</v>
      </c>
      <c r="BY95" s="514" t="str">
        <f t="shared" si="108"/>
        <v/>
      </c>
      <c r="BZ95" s="513">
        <f>(((((BZ89)+(BZ90))+(BZ91))+(BZ92))+(BZ93))+(BZ94)</f>
        <v>12000</v>
      </c>
      <c r="CA95" s="513">
        <f>(((((CA89)+(CA90))+(CA91))+(CA92))+(CA93))+(CA94)</f>
        <v>0</v>
      </c>
      <c r="CB95" s="513">
        <f t="shared" si="109"/>
        <v>12000</v>
      </c>
      <c r="CC95" s="514" t="str">
        <f t="shared" si="110"/>
        <v/>
      </c>
      <c r="CD95" s="513">
        <f>(((((CD89)+(CD90))+(CD91))+(CD92))+(CD93))+(CD94)</f>
        <v>1891.44</v>
      </c>
      <c r="CE95" s="513">
        <f>(((((CE89)+(CE90))+(CE91))+(CE92))+(CE93))+(CE94)</f>
        <v>0</v>
      </c>
      <c r="CF95" s="513">
        <f t="shared" si="111"/>
        <v>1891.44</v>
      </c>
      <c r="CG95" s="514" t="str">
        <f t="shared" si="112"/>
        <v/>
      </c>
      <c r="CH95" s="513">
        <f>(((((CH89)+(CH90))+(CH91))+(CH92))+(CH93))+(CH94)</f>
        <v>2225.36</v>
      </c>
      <c r="CI95" s="513">
        <f>(((((CI89)+(CI90))+(CI91))+(CI92))+(CI93))+(CI94)</f>
        <v>0</v>
      </c>
      <c r="CJ95" s="513">
        <f t="shared" si="113"/>
        <v>2225.36</v>
      </c>
      <c r="CK95" s="514" t="str">
        <f t="shared" si="114"/>
        <v/>
      </c>
      <c r="CL95" s="513">
        <f t="shared" si="140"/>
        <v>4116.8</v>
      </c>
      <c r="CM95" s="513">
        <f t="shared" si="140"/>
        <v>0</v>
      </c>
      <c r="CN95" s="513">
        <f t="shared" si="116"/>
        <v>4116.8</v>
      </c>
      <c r="CO95" s="514" t="str">
        <f t="shared" si="117"/>
        <v/>
      </c>
      <c r="CP95" s="513">
        <f>(((((CP89)+(CP90))+(CP91))+(CP92))+(CP93))+(CP94)</f>
        <v>0</v>
      </c>
      <c r="CQ95" s="513">
        <f>(((((CQ89)+(CQ90))+(CQ91))+(CQ92))+(CQ93))+(CQ94)</f>
        <v>0</v>
      </c>
      <c r="CR95" s="513">
        <f t="shared" si="118"/>
        <v>0</v>
      </c>
      <c r="CS95" s="514" t="str">
        <f t="shared" si="119"/>
        <v/>
      </c>
      <c r="CT95" s="513">
        <f>(((((CT89)+(CT90))+(CT91))+(CT92))+(CT93))+(CT94)</f>
        <v>1509.13</v>
      </c>
      <c r="CU95" s="513">
        <f>(((((CU89)+(CU90))+(CU91))+(CU92))+(CU93))+(CU94)</f>
        <v>0</v>
      </c>
      <c r="CV95" s="513">
        <f t="shared" si="120"/>
        <v>1509.13</v>
      </c>
      <c r="CW95" s="514" t="str">
        <f t="shared" si="121"/>
        <v/>
      </c>
      <c r="CX95" s="513">
        <f t="shared" si="141"/>
        <v>1509.13</v>
      </c>
      <c r="CY95" s="513">
        <f t="shared" si="141"/>
        <v>0</v>
      </c>
      <c r="CZ95" s="513">
        <f t="shared" si="123"/>
        <v>1509.13</v>
      </c>
      <c r="DA95" s="514" t="str">
        <f t="shared" si="124"/>
        <v/>
      </c>
      <c r="DB95" s="513">
        <f>(((((DB89)+(DB90))+(DB91))+(DB92))+(DB93))+(DB94)</f>
        <v>1563.61</v>
      </c>
      <c r="DC95" s="513">
        <f>(((((DC89)+(DC90))+(DC91))+(DC92))+(DC93))+(DC94)</f>
        <v>0</v>
      </c>
      <c r="DD95" s="513">
        <f t="shared" si="125"/>
        <v>1563.61</v>
      </c>
      <c r="DE95" s="514" t="str">
        <f t="shared" si="126"/>
        <v/>
      </c>
      <c r="DF95" s="513">
        <f>(((((DF89)+(DF90))+(DF91))+(DF92))+(DF93))+(DF94)</f>
        <v>673.47</v>
      </c>
      <c r="DG95" s="513">
        <f>(((((DG89)+(DG90))+(DG91))+(DG92))+(DG93))+(DG94)</f>
        <v>0</v>
      </c>
      <c r="DH95" s="513">
        <f t="shared" si="127"/>
        <v>673.47</v>
      </c>
      <c r="DI95" s="514" t="str">
        <f t="shared" si="128"/>
        <v/>
      </c>
      <c r="DJ95" s="513">
        <f t="shared" si="142"/>
        <v>2237.08</v>
      </c>
      <c r="DK95" s="513">
        <f t="shared" si="142"/>
        <v>0</v>
      </c>
      <c r="DL95" s="513">
        <f t="shared" si="130"/>
        <v>2237.08</v>
      </c>
      <c r="DM95" s="514" t="str">
        <f t="shared" si="131"/>
        <v/>
      </c>
      <c r="DN95" s="513">
        <f>(((((DN89)+(DN90))+(DN91))+(DN92))+(DN93))+(DN94)</f>
        <v>0</v>
      </c>
      <c r="DO95" s="513">
        <f>(((((DO89)+(DO90))+(DO91))+(DO92))+(DO93))+(DO94)</f>
        <v>0</v>
      </c>
      <c r="DP95" s="513">
        <f t="shared" si="132"/>
        <v>0</v>
      </c>
      <c r="DQ95" s="514" t="str">
        <f t="shared" si="133"/>
        <v/>
      </c>
      <c r="DR95" s="513">
        <f t="shared" si="143"/>
        <v>26921.93</v>
      </c>
      <c r="DS95" s="513">
        <f t="shared" si="144"/>
        <v>22015.61</v>
      </c>
      <c r="DT95" s="513">
        <f t="shared" si="136"/>
        <v>4906.32</v>
      </c>
      <c r="DU95" s="514">
        <f t="shared" si="137"/>
        <v>1.2228564186956437</v>
      </c>
    </row>
    <row r="96" spans="1:125" x14ac:dyDescent="0.25">
      <c r="A96" s="2" t="s">
        <v>103</v>
      </c>
      <c r="B96" s="511">
        <f>2086.07</f>
        <v>2086.0700000000002</v>
      </c>
      <c r="C96" s="3"/>
      <c r="D96" s="511">
        <f t="shared" ref="D96:D113" si="145">(B96)-(C96)</f>
        <v>2086.0700000000002</v>
      </c>
      <c r="E96" s="512" t="str">
        <f t="shared" ref="E96:E113" si="146">IF(C96=0,"",(B96)/(C96))</f>
        <v/>
      </c>
      <c r="F96" s="511">
        <f>146.64</f>
        <v>146.63999999999999</v>
      </c>
      <c r="G96" s="511">
        <f>500</f>
        <v>500</v>
      </c>
      <c r="H96" s="511">
        <f t="shared" ref="H96:H113" si="147">(F96)-(G96)</f>
        <v>-353.36</v>
      </c>
      <c r="I96" s="512">
        <f t="shared" ref="I96:I113" si="148">IF(G96=0,"",(F96)/(G96))</f>
        <v>0.29327999999999999</v>
      </c>
      <c r="J96" s="511">
        <f>523.33</f>
        <v>523.33000000000004</v>
      </c>
      <c r="K96" s="511">
        <f>2400</f>
        <v>2400</v>
      </c>
      <c r="L96" s="511">
        <f t="shared" ref="L96:L113" si="149">(J96)-(K96)</f>
        <v>-1876.67</v>
      </c>
      <c r="M96" s="512">
        <f t="shared" ref="M96:M113" si="150">IF(K96=0,"",(J96)/(K96))</f>
        <v>0.21805416666666669</v>
      </c>
      <c r="N96" s="3"/>
      <c r="O96" s="3"/>
      <c r="P96" s="511">
        <f t="shared" ref="P96:P113" si="151">(N96)-(O96)</f>
        <v>0</v>
      </c>
      <c r="Q96" s="512" t="str">
        <f t="shared" ref="Q96:Q113" si="152">IF(O96=0,"",(N96)/(O96))</f>
        <v/>
      </c>
      <c r="R96" s="511">
        <f>2091.7</f>
        <v>2091.6999999999998</v>
      </c>
      <c r="S96" s="3"/>
      <c r="T96" s="511">
        <f t="shared" ref="T96:T113" si="153">(R96)-(S96)</f>
        <v>2091.6999999999998</v>
      </c>
      <c r="U96" s="512" t="str">
        <f t="shared" ref="U96:U113" si="154">IF(S96=0,"",(R96)/(S96))</f>
        <v/>
      </c>
      <c r="V96" s="511">
        <f>266.62</f>
        <v>266.62</v>
      </c>
      <c r="W96" s="511">
        <f>6094.07</f>
        <v>6094.07</v>
      </c>
      <c r="X96" s="511">
        <f t="shared" ref="X96:X113" si="155">(V96)-(W96)</f>
        <v>-5827.45</v>
      </c>
      <c r="Y96" s="512">
        <f t="shared" ref="Y96:Y113" si="156">IF(W96=0,"",(V96)/(W96))</f>
        <v>4.3750728166890109E-2</v>
      </c>
      <c r="Z96" s="3"/>
      <c r="AA96" s="3"/>
      <c r="AB96" s="511">
        <f t="shared" ref="AB96:AB113" si="157">(Z96)-(AA96)</f>
        <v>0</v>
      </c>
      <c r="AC96" s="512" t="str">
        <f t="shared" ref="AC96:AC113" si="158">IF(AA96=0,"",(Z96)/(AA96))</f>
        <v/>
      </c>
      <c r="AD96" s="3"/>
      <c r="AE96" s="3"/>
      <c r="AF96" s="511">
        <f t="shared" ref="AF96:AF113" si="159">(AD96)-(AE96)</f>
        <v>0</v>
      </c>
      <c r="AG96" s="512" t="str">
        <f t="shared" ref="AG96:AG113" si="160">IF(AE96=0,"",(AD96)/(AE96))</f>
        <v/>
      </c>
      <c r="AH96" s="3"/>
      <c r="AI96" s="3"/>
      <c r="AJ96" s="511">
        <f t="shared" ref="AJ96:AJ113" si="161">(AH96)-(AI96)</f>
        <v>0</v>
      </c>
      <c r="AK96" s="512" t="str">
        <f t="shared" ref="AK96:AK113" si="162">IF(AI96=0,"",(AH96)/(AI96))</f>
        <v/>
      </c>
      <c r="AL96" s="3"/>
      <c r="AM96" s="3"/>
      <c r="AN96" s="511">
        <f t="shared" ref="AN96:AN113" si="163">(AL96)-(AM96)</f>
        <v>0</v>
      </c>
      <c r="AO96" s="512" t="str">
        <f t="shared" ref="AO96:AO113" si="164">IF(AM96=0,"",(AL96)/(AM96))</f>
        <v/>
      </c>
      <c r="AP96" s="3"/>
      <c r="AQ96" s="3"/>
      <c r="AR96" s="511">
        <f t="shared" ref="AR96:AR113" si="165">(AP96)-(AQ96)</f>
        <v>0</v>
      </c>
      <c r="AS96" s="512" t="str">
        <f t="shared" ref="AS96:AS113" si="166">IF(AQ96=0,"",(AP96)/(AQ96))</f>
        <v/>
      </c>
      <c r="AT96" s="3"/>
      <c r="AU96" s="3"/>
      <c r="AV96" s="511">
        <f t="shared" ref="AV96:AV113" si="167">(AT96)-(AU96)</f>
        <v>0</v>
      </c>
      <c r="AW96" s="512" t="str">
        <f t="shared" ref="AW96:AW113" si="168">IF(AU96=0,"",(AT96)/(AU96))</f>
        <v/>
      </c>
      <c r="AX96" s="511">
        <f t="shared" ref="AX96:AY113" si="169">((((((V96)+(Z96))+(AD96))+(AH96))+(AL96))+(AP96))+(AT96)</f>
        <v>266.62</v>
      </c>
      <c r="AY96" s="511">
        <f t="shared" si="169"/>
        <v>6094.07</v>
      </c>
      <c r="AZ96" s="511">
        <f t="shared" ref="AZ96:AZ113" si="170">(AX96)-(AY96)</f>
        <v>-5827.45</v>
      </c>
      <c r="BA96" s="512">
        <f t="shared" ref="BA96:BA113" si="171">IF(AY96=0,"",(AX96)/(AY96))</f>
        <v>4.3750728166890109E-2</v>
      </c>
      <c r="BB96" s="511">
        <f>108.97</f>
        <v>108.97</v>
      </c>
      <c r="BC96" s="511">
        <f>1012</f>
        <v>1012</v>
      </c>
      <c r="BD96" s="511">
        <f t="shared" ref="BD96:BD113" si="172">(BB96)-(BC96)</f>
        <v>-903.03</v>
      </c>
      <c r="BE96" s="512">
        <f t="shared" ref="BE96:BE113" si="173">IF(BC96=0,"",(BB96)/(BC96))</f>
        <v>0.10767786561264822</v>
      </c>
      <c r="BF96" s="3"/>
      <c r="BG96" s="3"/>
      <c r="BH96" s="511">
        <f t="shared" ref="BH96:BH113" si="174">(BF96)-(BG96)</f>
        <v>0</v>
      </c>
      <c r="BI96" s="512" t="str">
        <f t="shared" ref="BI96:BI113" si="175">IF(BG96=0,"",(BF96)/(BG96))</f>
        <v/>
      </c>
      <c r="BJ96" s="3"/>
      <c r="BK96" s="3"/>
      <c r="BL96" s="511">
        <f t="shared" ref="BL96:BL113" si="176">(BJ96)-(BK96)</f>
        <v>0</v>
      </c>
      <c r="BM96" s="512" t="str">
        <f t="shared" ref="BM96:BM113" si="177">IF(BK96=0,"",(BJ96)/(BK96))</f>
        <v/>
      </c>
      <c r="BN96" s="3"/>
      <c r="BO96" s="3"/>
      <c r="BP96" s="511">
        <f t="shared" ref="BP96:BP113" si="178">(BN96)-(BO96)</f>
        <v>0</v>
      </c>
      <c r="BQ96" s="512" t="str">
        <f t="shared" ref="BQ96:BQ113" si="179">IF(BO96=0,"",(BN96)/(BO96))</f>
        <v/>
      </c>
      <c r="BR96" s="511">
        <f t="shared" ref="BR96:BS113" si="180">(((BB96)+(BF96))+(BJ96))+(BN96)</f>
        <v>108.97</v>
      </c>
      <c r="BS96" s="511">
        <f t="shared" si="180"/>
        <v>1012</v>
      </c>
      <c r="BT96" s="511">
        <f t="shared" ref="BT96:BT113" si="181">(BR96)-(BS96)</f>
        <v>-903.03</v>
      </c>
      <c r="BU96" s="512">
        <f t="shared" ref="BU96:BU113" si="182">IF(BS96=0,"",(BR96)/(BS96))</f>
        <v>0.10767786561264822</v>
      </c>
      <c r="BV96" s="511">
        <f>171.16</f>
        <v>171.16</v>
      </c>
      <c r="BW96" s="511">
        <f>13612.62</f>
        <v>13612.62</v>
      </c>
      <c r="BX96" s="511">
        <f t="shared" ref="BX96:BX113" si="183">(BV96)-(BW96)</f>
        <v>-13441.460000000001</v>
      </c>
      <c r="BY96" s="512">
        <f t="shared" ref="BY96:BY113" si="184">IF(BW96=0,"",(BV96)/(BW96))</f>
        <v>1.2573626531850591E-2</v>
      </c>
      <c r="BZ96" s="511">
        <f>348.78</f>
        <v>348.78</v>
      </c>
      <c r="CA96" s="3"/>
      <c r="CB96" s="511">
        <f t="shared" ref="CB96:CB113" si="185">(BZ96)-(CA96)</f>
        <v>348.78</v>
      </c>
      <c r="CC96" s="512" t="str">
        <f t="shared" ref="CC96:CC113" si="186">IF(CA96=0,"",(BZ96)/(CA96))</f>
        <v/>
      </c>
      <c r="CD96" s="511">
        <f>65.64</f>
        <v>65.64</v>
      </c>
      <c r="CE96" s="3"/>
      <c r="CF96" s="511">
        <f t="shared" ref="CF96:CF113" si="187">(CD96)-(CE96)</f>
        <v>65.64</v>
      </c>
      <c r="CG96" s="512" t="str">
        <f t="shared" ref="CG96:CG113" si="188">IF(CE96=0,"",(CD96)/(CE96))</f>
        <v/>
      </c>
      <c r="CH96" s="511">
        <f>1.68</f>
        <v>1.68</v>
      </c>
      <c r="CI96" s="3"/>
      <c r="CJ96" s="511">
        <f t="shared" ref="CJ96:CJ113" si="189">(CH96)-(CI96)</f>
        <v>1.68</v>
      </c>
      <c r="CK96" s="512" t="str">
        <f t="shared" ref="CK96:CK113" si="190">IF(CI96=0,"",(CH96)/(CI96))</f>
        <v/>
      </c>
      <c r="CL96" s="511">
        <f t="shared" ref="CL96:CM113" si="191">(CD96)+(CH96)</f>
        <v>67.320000000000007</v>
      </c>
      <c r="CM96" s="511">
        <f t="shared" si="191"/>
        <v>0</v>
      </c>
      <c r="CN96" s="511">
        <f t="shared" ref="CN96:CN113" si="192">(CL96)-(CM96)</f>
        <v>67.320000000000007</v>
      </c>
      <c r="CO96" s="512" t="str">
        <f t="shared" ref="CO96:CO113" si="193">IF(CM96=0,"",(CL96)/(CM96))</f>
        <v/>
      </c>
      <c r="CP96" s="511">
        <f>28.14</f>
        <v>28.14</v>
      </c>
      <c r="CQ96" s="3"/>
      <c r="CR96" s="511">
        <f t="shared" ref="CR96:CR113" si="194">(CP96)-(CQ96)</f>
        <v>28.14</v>
      </c>
      <c r="CS96" s="512" t="str">
        <f t="shared" ref="CS96:CS113" si="195">IF(CQ96=0,"",(CP96)/(CQ96))</f>
        <v/>
      </c>
      <c r="CT96" s="511">
        <f>598.58</f>
        <v>598.58000000000004</v>
      </c>
      <c r="CU96" s="511">
        <f>1000</f>
        <v>1000</v>
      </c>
      <c r="CV96" s="511">
        <f t="shared" ref="CV96:CV113" si="196">(CT96)-(CU96)</f>
        <v>-401.41999999999996</v>
      </c>
      <c r="CW96" s="512">
        <f t="shared" ref="CW96:CW113" si="197">IF(CU96=0,"",(CT96)/(CU96))</f>
        <v>0.59858</v>
      </c>
      <c r="CX96" s="511">
        <f t="shared" ref="CX96:CY113" si="198">(CP96)+(CT96)</f>
        <v>626.72</v>
      </c>
      <c r="CY96" s="511">
        <f t="shared" si="198"/>
        <v>1000</v>
      </c>
      <c r="CZ96" s="511">
        <f t="shared" ref="CZ96:CZ113" si="199">(CX96)-(CY96)</f>
        <v>-373.28</v>
      </c>
      <c r="DA96" s="512">
        <f t="shared" ref="DA96:DA113" si="200">IF(CY96=0,"",(CX96)/(CY96))</f>
        <v>0.62672000000000005</v>
      </c>
      <c r="DB96" s="511">
        <f>135.91</f>
        <v>135.91</v>
      </c>
      <c r="DC96" s="3"/>
      <c r="DD96" s="511">
        <f t="shared" ref="DD96:DD113" si="201">(DB96)-(DC96)</f>
        <v>135.91</v>
      </c>
      <c r="DE96" s="512" t="str">
        <f t="shared" ref="DE96:DE113" si="202">IF(DC96=0,"",(DB96)/(DC96))</f>
        <v/>
      </c>
      <c r="DF96" s="3"/>
      <c r="DG96" s="3"/>
      <c r="DH96" s="511">
        <f t="shared" ref="DH96:DH113" si="203">(DF96)-(DG96)</f>
        <v>0</v>
      </c>
      <c r="DI96" s="512" t="str">
        <f t="shared" ref="DI96:DI113" si="204">IF(DG96=0,"",(DF96)/(DG96))</f>
        <v/>
      </c>
      <c r="DJ96" s="511">
        <f t="shared" ref="DJ96:DK113" si="205">(DB96)+(DF96)</f>
        <v>135.91</v>
      </c>
      <c r="DK96" s="511">
        <f t="shared" si="205"/>
        <v>0</v>
      </c>
      <c r="DL96" s="511">
        <f t="shared" ref="DL96:DL113" si="206">(DJ96)-(DK96)</f>
        <v>135.91</v>
      </c>
      <c r="DM96" s="512" t="str">
        <f t="shared" ref="DM96:DM113" si="207">IF(DK96=0,"",(DJ96)/(DK96))</f>
        <v/>
      </c>
      <c r="DN96" s="3"/>
      <c r="DO96" s="3"/>
      <c r="DP96" s="511">
        <f t="shared" ref="DP96:DP113" si="208">(DN96)-(DO96)</f>
        <v>0</v>
      </c>
      <c r="DQ96" s="512" t="str">
        <f t="shared" ref="DQ96:DQ113" si="209">IF(DO96=0,"",(DN96)/(DO96))</f>
        <v/>
      </c>
      <c r="DR96" s="511">
        <f t="shared" ref="DR96:DR113" si="210">((((((((((((B96)+(F96))+(J96))+(N96))+(R96))+(AX96))+(BR96))+(BV96))+(BZ96))+(CL96))+(CX96))+(DJ96))+(DN96)</f>
        <v>6573.2199999999993</v>
      </c>
      <c r="DS96" s="511">
        <f t="shared" ref="DS96:DS113" si="211">((((((((((((C96)+(G96))+(K96))+(O96))+(S96))+(AY96))+(BS96))+(BW96))+(CA96))+(CM96))+(CY96))+(DK96))+(DO96)</f>
        <v>24618.690000000002</v>
      </c>
      <c r="DT96" s="511">
        <f t="shared" ref="DT96:DT113" si="212">(DR96)-(DS96)</f>
        <v>-18045.47</v>
      </c>
      <c r="DU96" s="512">
        <f t="shared" ref="DU96:DU113" si="213">IF(DS96=0,"",(DR96)/(DS96))</f>
        <v>0.26700120924387116</v>
      </c>
    </row>
    <row r="97" spans="1:125" x14ac:dyDescent="0.25">
      <c r="A97" s="2" t="s">
        <v>104</v>
      </c>
      <c r="B97" s="3"/>
      <c r="C97" s="3"/>
      <c r="D97" s="511">
        <f t="shared" si="145"/>
        <v>0</v>
      </c>
      <c r="E97" s="512" t="str">
        <f t="shared" si="146"/>
        <v/>
      </c>
      <c r="F97" s="3"/>
      <c r="G97" s="511">
        <f>350</f>
        <v>350</v>
      </c>
      <c r="H97" s="511">
        <f t="shared" si="147"/>
        <v>-350</v>
      </c>
      <c r="I97" s="512">
        <f t="shared" si="148"/>
        <v>0</v>
      </c>
      <c r="J97" s="3"/>
      <c r="K97" s="511">
        <f>227.5</f>
        <v>227.5</v>
      </c>
      <c r="L97" s="511">
        <f t="shared" si="149"/>
        <v>-227.5</v>
      </c>
      <c r="M97" s="512">
        <f t="shared" si="150"/>
        <v>0</v>
      </c>
      <c r="N97" s="3"/>
      <c r="O97" s="3"/>
      <c r="P97" s="511">
        <f t="shared" si="151"/>
        <v>0</v>
      </c>
      <c r="Q97" s="512" t="str">
        <f t="shared" si="152"/>
        <v/>
      </c>
      <c r="R97" s="3"/>
      <c r="S97" s="3"/>
      <c r="T97" s="511">
        <f t="shared" si="153"/>
        <v>0</v>
      </c>
      <c r="U97" s="512" t="str">
        <f t="shared" si="154"/>
        <v/>
      </c>
      <c r="V97" s="3"/>
      <c r="W97" s="3"/>
      <c r="X97" s="511">
        <f t="shared" si="155"/>
        <v>0</v>
      </c>
      <c r="Y97" s="512" t="str">
        <f t="shared" si="156"/>
        <v/>
      </c>
      <c r="Z97" s="3"/>
      <c r="AA97" s="3"/>
      <c r="AB97" s="511">
        <f t="shared" si="157"/>
        <v>0</v>
      </c>
      <c r="AC97" s="512" t="str">
        <f t="shared" si="158"/>
        <v/>
      </c>
      <c r="AD97" s="3"/>
      <c r="AE97" s="3"/>
      <c r="AF97" s="511">
        <f t="shared" si="159"/>
        <v>0</v>
      </c>
      <c r="AG97" s="512" t="str">
        <f t="shared" si="160"/>
        <v/>
      </c>
      <c r="AH97" s="3"/>
      <c r="AI97" s="3"/>
      <c r="AJ97" s="511">
        <f t="shared" si="161"/>
        <v>0</v>
      </c>
      <c r="AK97" s="512" t="str">
        <f t="shared" si="162"/>
        <v/>
      </c>
      <c r="AL97" s="3"/>
      <c r="AM97" s="3"/>
      <c r="AN97" s="511">
        <f t="shared" si="163"/>
        <v>0</v>
      </c>
      <c r="AO97" s="512" t="str">
        <f t="shared" si="164"/>
        <v/>
      </c>
      <c r="AP97" s="3"/>
      <c r="AQ97" s="3"/>
      <c r="AR97" s="511">
        <f t="shared" si="165"/>
        <v>0</v>
      </c>
      <c r="AS97" s="512" t="str">
        <f t="shared" si="166"/>
        <v/>
      </c>
      <c r="AT97" s="3"/>
      <c r="AU97" s="3"/>
      <c r="AV97" s="511">
        <f t="shared" si="167"/>
        <v>0</v>
      </c>
      <c r="AW97" s="512" t="str">
        <f t="shared" si="168"/>
        <v/>
      </c>
      <c r="AX97" s="511">
        <f t="shared" si="169"/>
        <v>0</v>
      </c>
      <c r="AY97" s="511">
        <f t="shared" si="169"/>
        <v>0</v>
      </c>
      <c r="AZ97" s="511">
        <f t="shared" si="170"/>
        <v>0</v>
      </c>
      <c r="BA97" s="512" t="str">
        <f t="shared" si="171"/>
        <v/>
      </c>
      <c r="BB97" s="3"/>
      <c r="BC97" s="3"/>
      <c r="BD97" s="511">
        <f t="shared" si="172"/>
        <v>0</v>
      </c>
      <c r="BE97" s="512" t="str">
        <f t="shared" si="173"/>
        <v/>
      </c>
      <c r="BF97" s="3"/>
      <c r="BG97" s="3"/>
      <c r="BH97" s="511">
        <f t="shared" si="174"/>
        <v>0</v>
      </c>
      <c r="BI97" s="512" t="str">
        <f t="shared" si="175"/>
        <v/>
      </c>
      <c r="BJ97" s="3"/>
      <c r="BK97" s="3"/>
      <c r="BL97" s="511">
        <f t="shared" si="176"/>
        <v>0</v>
      </c>
      <c r="BM97" s="512" t="str">
        <f t="shared" si="177"/>
        <v/>
      </c>
      <c r="BN97" s="3"/>
      <c r="BO97" s="3"/>
      <c r="BP97" s="511">
        <f t="shared" si="178"/>
        <v>0</v>
      </c>
      <c r="BQ97" s="512" t="str">
        <f t="shared" si="179"/>
        <v/>
      </c>
      <c r="BR97" s="511">
        <f t="shared" si="180"/>
        <v>0</v>
      </c>
      <c r="BS97" s="511">
        <f t="shared" si="180"/>
        <v>0</v>
      </c>
      <c r="BT97" s="511">
        <f t="shared" si="181"/>
        <v>0</v>
      </c>
      <c r="BU97" s="512" t="str">
        <f t="shared" si="182"/>
        <v/>
      </c>
      <c r="BV97" s="3"/>
      <c r="BW97" s="3"/>
      <c r="BX97" s="511">
        <f t="shared" si="183"/>
        <v>0</v>
      </c>
      <c r="BY97" s="512" t="str">
        <f t="shared" si="184"/>
        <v/>
      </c>
      <c r="BZ97" s="3"/>
      <c r="CA97" s="3"/>
      <c r="CB97" s="511">
        <f t="shared" si="185"/>
        <v>0</v>
      </c>
      <c r="CC97" s="512" t="str">
        <f t="shared" si="186"/>
        <v/>
      </c>
      <c r="CD97" s="3"/>
      <c r="CE97" s="3"/>
      <c r="CF97" s="511">
        <f t="shared" si="187"/>
        <v>0</v>
      </c>
      <c r="CG97" s="512" t="str">
        <f t="shared" si="188"/>
        <v/>
      </c>
      <c r="CH97" s="3"/>
      <c r="CI97" s="3"/>
      <c r="CJ97" s="511">
        <f t="shared" si="189"/>
        <v>0</v>
      </c>
      <c r="CK97" s="512" t="str">
        <f t="shared" si="190"/>
        <v/>
      </c>
      <c r="CL97" s="511">
        <f t="shared" si="191"/>
        <v>0</v>
      </c>
      <c r="CM97" s="511">
        <f t="shared" si="191"/>
        <v>0</v>
      </c>
      <c r="CN97" s="511">
        <f t="shared" si="192"/>
        <v>0</v>
      </c>
      <c r="CO97" s="512" t="str">
        <f t="shared" si="193"/>
        <v/>
      </c>
      <c r="CP97" s="3"/>
      <c r="CQ97" s="3"/>
      <c r="CR97" s="511">
        <f t="shared" si="194"/>
        <v>0</v>
      </c>
      <c r="CS97" s="512" t="str">
        <f t="shared" si="195"/>
        <v/>
      </c>
      <c r="CT97" s="3"/>
      <c r="CU97" s="3"/>
      <c r="CV97" s="511">
        <f t="shared" si="196"/>
        <v>0</v>
      </c>
      <c r="CW97" s="512" t="str">
        <f t="shared" si="197"/>
        <v/>
      </c>
      <c r="CX97" s="511">
        <f t="shared" si="198"/>
        <v>0</v>
      </c>
      <c r="CY97" s="511">
        <f t="shared" si="198"/>
        <v>0</v>
      </c>
      <c r="CZ97" s="511">
        <f t="shared" si="199"/>
        <v>0</v>
      </c>
      <c r="DA97" s="512" t="str">
        <f t="shared" si="200"/>
        <v/>
      </c>
      <c r="DB97" s="3"/>
      <c r="DC97" s="3"/>
      <c r="DD97" s="511">
        <f t="shared" si="201"/>
        <v>0</v>
      </c>
      <c r="DE97" s="512" t="str">
        <f t="shared" si="202"/>
        <v/>
      </c>
      <c r="DF97" s="3"/>
      <c r="DG97" s="3"/>
      <c r="DH97" s="511">
        <f t="shared" si="203"/>
        <v>0</v>
      </c>
      <c r="DI97" s="512" t="str">
        <f t="shared" si="204"/>
        <v/>
      </c>
      <c r="DJ97" s="511">
        <f t="shared" si="205"/>
        <v>0</v>
      </c>
      <c r="DK97" s="511">
        <f t="shared" si="205"/>
        <v>0</v>
      </c>
      <c r="DL97" s="511">
        <f t="shared" si="206"/>
        <v>0</v>
      </c>
      <c r="DM97" s="512" t="str">
        <f t="shared" si="207"/>
        <v/>
      </c>
      <c r="DN97" s="3"/>
      <c r="DO97" s="3"/>
      <c r="DP97" s="511">
        <f t="shared" si="208"/>
        <v>0</v>
      </c>
      <c r="DQ97" s="512" t="str">
        <f t="shared" si="209"/>
        <v/>
      </c>
      <c r="DR97" s="511">
        <f t="shared" si="210"/>
        <v>0</v>
      </c>
      <c r="DS97" s="511">
        <f t="shared" si="211"/>
        <v>577.5</v>
      </c>
      <c r="DT97" s="511">
        <f t="shared" si="212"/>
        <v>-577.5</v>
      </c>
      <c r="DU97" s="512">
        <f t="shared" si="213"/>
        <v>0</v>
      </c>
    </row>
    <row r="98" spans="1:125" x14ac:dyDescent="0.25">
      <c r="A98" s="2" t="s">
        <v>737</v>
      </c>
      <c r="B98" s="511">
        <f>449.56</f>
        <v>449.56</v>
      </c>
      <c r="C98" s="511">
        <f>500</f>
        <v>500</v>
      </c>
      <c r="D98" s="511">
        <f t="shared" si="145"/>
        <v>-50.44</v>
      </c>
      <c r="E98" s="512">
        <f t="shared" si="146"/>
        <v>0.89912000000000003</v>
      </c>
      <c r="F98" s="3"/>
      <c r="G98" s="3"/>
      <c r="H98" s="511">
        <f t="shared" si="147"/>
        <v>0</v>
      </c>
      <c r="I98" s="512" t="str">
        <f t="shared" si="148"/>
        <v/>
      </c>
      <c r="J98" s="511">
        <f>1003.06</f>
        <v>1003.06</v>
      </c>
      <c r="K98" s="511">
        <f>500</f>
        <v>500</v>
      </c>
      <c r="L98" s="511">
        <f t="shared" si="149"/>
        <v>503.05999999999995</v>
      </c>
      <c r="M98" s="512">
        <f t="shared" si="150"/>
        <v>2.0061199999999997</v>
      </c>
      <c r="N98" s="3"/>
      <c r="O98" s="3"/>
      <c r="P98" s="511">
        <f t="shared" si="151"/>
        <v>0</v>
      </c>
      <c r="Q98" s="512" t="str">
        <f t="shared" si="152"/>
        <v/>
      </c>
      <c r="R98" s="511">
        <f>59.43</f>
        <v>59.43</v>
      </c>
      <c r="S98" s="3"/>
      <c r="T98" s="511">
        <f t="shared" si="153"/>
        <v>59.43</v>
      </c>
      <c r="U98" s="512" t="str">
        <f t="shared" si="154"/>
        <v/>
      </c>
      <c r="V98" s="511">
        <f>694.49</f>
        <v>694.49</v>
      </c>
      <c r="W98" s="3"/>
      <c r="X98" s="511">
        <f t="shared" si="155"/>
        <v>694.49</v>
      </c>
      <c r="Y98" s="512" t="str">
        <f t="shared" si="156"/>
        <v/>
      </c>
      <c r="Z98" s="3"/>
      <c r="AA98" s="3"/>
      <c r="AB98" s="511">
        <f t="shared" si="157"/>
        <v>0</v>
      </c>
      <c r="AC98" s="512" t="str">
        <f t="shared" si="158"/>
        <v/>
      </c>
      <c r="AD98" s="3"/>
      <c r="AE98" s="3"/>
      <c r="AF98" s="511">
        <f t="shared" si="159"/>
        <v>0</v>
      </c>
      <c r="AG98" s="512" t="str">
        <f t="shared" si="160"/>
        <v/>
      </c>
      <c r="AH98" s="3"/>
      <c r="AI98" s="3"/>
      <c r="AJ98" s="511">
        <f t="shared" si="161"/>
        <v>0</v>
      </c>
      <c r="AK98" s="512" t="str">
        <f t="shared" si="162"/>
        <v/>
      </c>
      <c r="AL98" s="3"/>
      <c r="AM98" s="3"/>
      <c r="AN98" s="511">
        <f t="shared" si="163"/>
        <v>0</v>
      </c>
      <c r="AO98" s="512" t="str">
        <f t="shared" si="164"/>
        <v/>
      </c>
      <c r="AP98" s="3"/>
      <c r="AQ98" s="3"/>
      <c r="AR98" s="511">
        <f t="shared" si="165"/>
        <v>0</v>
      </c>
      <c r="AS98" s="512" t="str">
        <f t="shared" si="166"/>
        <v/>
      </c>
      <c r="AT98" s="3"/>
      <c r="AU98" s="3"/>
      <c r="AV98" s="511">
        <f t="shared" si="167"/>
        <v>0</v>
      </c>
      <c r="AW98" s="512" t="str">
        <f t="shared" si="168"/>
        <v/>
      </c>
      <c r="AX98" s="511">
        <f t="shared" si="169"/>
        <v>694.49</v>
      </c>
      <c r="AY98" s="511">
        <f t="shared" si="169"/>
        <v>0</v>
      </c>
      <c r="AZ98" s="511">
        <f t="shared" si="170"/>
        <v>694.49</v>
      </c>
      <c r="BA98" s="512" t="str">
        <f t="shared" si="171"/>
        <v/>
      </c>
      <c r="BB98" s="511">
        <f>348.95</f>
        <v>348.95</v>
      </c>
      <c r="BC98" s="3"/>
      <c r="BD98" s="511">
        <f t="shared" si="172"/>
        <v>348.95</v>
      </c>
      <c r="BE98" s="512" t="str">
        <f t="shared" si="173"/>
        <v/>
      </c>
      <c r="BF98" s="3"/>
      <c r="BG98" s="3"/>
      <c r="BH98" s="511">
        <f t="shared" si="174"/>
        <v>0</v>
      </c>
      <c r="BI98" s="512" t="str">
        <f t="shared" si="175"/>
        <v/>
      </c>
      <c r="BJ98" s="3"/>
      <c r="BK98" s="3"/>
      <c r="BL98" s="511">
        <f t="shared" si="176"/>
        <v>0</v>
      </c>
      <c r="BM98" s="512" t="str">
        <f t="shared" si="177"/>
        <v/>
      </c>
      <c r="BN98" s="3"/>
      <c r="BO98" s="3"/>
      <c r="BP98" s="511">
        <f t="shared" si="178"/>
        <v>0</v>
      </c>
      <c r="BQ98" s="512" t="str">
        <f t="shared" si="179"/>
        <v/>
      </c>
      <c r="BR98" s="511">
        <f t="shared" si="180"/>
        <v>348.95</v>
      </c>
      <c r="BS98" s="511">
        <f t="shared" si="180"/>
        <v>0</v>
      </c>
      <c r="BT98" s="511">
        <f t="shared" si="181"/>
        <v>348.95</v>
      </c>
      <c r="BU98" s="512" t="str">
        <f t="shared" si="182"/>
        <v/>
      </c>
      <c r="BV98" s="511">
        <f>198.52</f>
        <v>198.52</v>
      </c>
      <c r="BW98" s="3"/>
      <c r="BX98" s="511">
        <f t="shared" si="183"/>
        <v>198.52</v>
      </c>
      <c r="BY98" s="512" t="str">
        <f t="shared" si="184"/>
        <v/>
      </c>
      <c r="BZ98" s="511">
        <f>158.52</f>
        <v>158.52000000000001</v>
      </c>
      <c r="CA98" s="3"/>
      <c r="CB98" s="511">
        <f t="shared" si="185"/>
        <v>158.52000000000001</v>
      </c>
      <c r="CC98" s="512" t="str">
        <f t="shared" si="186"/>
        <v/>
      </c>
      <c r="CD98" s="511">
        <f>26</f>
        <v>26</v>
      </c>
      <c r="CE98" s="3"/>
      <c r="CF98" s="511">
        <f t="shared" si="187"/>
        <v>26</v>
      </c>
      <c r="CG98" s="512" t="str">
        <f t="shared" si="188"/>
        <v/>
      </c>
      <c r="CH98" s="3"/>
      <c r="CI98" s="3"/>
      <c r="CJ98" s="511">
        <f t="shared" si="189"/>
        <v>0</v>
      </c>
      <c r="CK98" s="512" t="str">
        <f t="shared" si="190"/>
        <v/>
      </c>
      <c r="CL98" s="511">
        <f t="shared" si="191"/>
        <v>26</v>
      </c>
      <c r="CM98" s="511">
        <f t="shared" si="191"/>
        <v>0</v>
      </c>
      <c r="CN98" s="511">
        <f t="shared" si="192"/>
        <v>26</v>
      </c>
      <c r="CO98" s="512" t="str">
        <f t="shared" si="193"/>
        <v/>
      </c>
      <c r="CP98" s="511">
        <f>11.14</f>
        <v>11.14</v>
      </c>
      <c r="CQ98" s="3"/>
      <c r="CR98" s="511">
        <f t="shared" si="194"/>
        <v>11.14</v>
      </c>
      <c r="CS98" s="512" t="str">
        <f t="shared" si="195"/>
        <v/>
      </c>
      <c r="CT98" s="511">
        <f>7.8</f>
        <v>7.8</v>
      </c>
      <c r="CU98" s="3"/>
      <c r="CV98" s="511">
        <f t="shared" si="196"/>
        <v>7.8</v>
      </c>
      <c r="CW98" s="512" t="str">
        <f t="shared" si="197"/>
        <v/>
      </c>
      <c r="CX98" s="511">
        <f t="shared" si="198"/>
        <v>18.940000000000001</v>
      </c>
      <c r="CY98" s="511">
        <f t="shared" si="198"/>
        <v>0</v>
      </c>
      <c r="CZ98" s="511">
        <f t="shared" si="199"/>
        <v>18.940000000000001</v>
      </c>
      <c r="DA98" s="512" t="str">
        <f t="shared" si="200"/>
        <v/>
      </c>
      <c r="DB98" s="3"/>
      <c r="DC98" s="3"/>
      <c r="DD98" s="511">
        <f t="shared" si="201"/>
        <v>0</v>
      </c>
      <c r="DE98" s="512" t="str">
        <f t="shared" si="202"/>
        <v/>
      </c>
      <c r="DF98" s="3"/>
      <c r="DG98" s="3"/>
      <c r="DH98" s="511">
        <f t="shared" si="203"/>
        <v>0</v>
      </c>
      <c r="DI98" s="512" t="str">
        <f t="shared" si="204"/>
        <v/>
      </c>
      <c r="DJ98" s="511">
        <f t="shared" si="205"/>
        <v>0</v>
      </c>
      <c r="DK98" s="511">
        <f t="shared" si="205"/>
        <v>0</v>
      </c>
      <c r="DL98" s="511">
        <f t="shared" si="206"/>
        <v>0</v>
      </c>
      <c r="DM98" s="512" t="str">
        <f t="shared" si="207"/>
        <v/>
      </c>
      <c r="DN98" s="3"/>
      <c r="DO98" s="3"/>
      <c r="DP98" s="511">
        <f t="shared" si="208"/>
        <v>0</v>
      </c>
      <c r="DQ98" s="512" t="str">
        <f t="shared" si="209"/>
        <v/>
      </c>
      <c r="DR98" s="511">
        <f t="shared" si="210"/>
        <v>2957.47</v>
      </c>
      <c r="DS98" s="511">
        <f t="shared" si="211"/>
        <v>1000</v>
      </c>
      <c r="DT98" s="511">
        <f t="shared" si="212"/>
        <v>1957.4699999999998</v>
      </c>
      <c r="DU98" s="512">
        <f t="shared" si="213"/>
        <v>2.9574699999999998</v>
      </c>
    </row>
    <row r="99" spans="1:125" x14ac:dyDescent="0.25">
      <c r="A99" s="2" t="s">
        <v>106</v>
      </c>
      <c r="B99" s="511">
        <f>1017.11</f>
        <v>1017.11</v>
      </c>
      <c r="C99" s="3"/>
      <c r="D99" s="511">
        <f t="shared" si="145"/>
        <v>1017.11</v>
      </c>
      <c r="E99" s="512" t="str">
        <f t="shared" si="146"/>
        <v/>
      </c>
      <c r="F99" s="3"/>
      <c r="G99" s="3"/>
      <c r="H99" s="511">
        <f t="shared" si="147"/>
        <v>0</v>
      </c>
      <c r="I99" s="512" t="str">
        <f t="shared" si="148"/>
        <v/>
      </c>
      <c r="J99" s="511">
        <f>114.04</f>
        <v>114.04</v>
      </c>
      <c r="K99" s="3"/>
      <c r="L99" s="511">
        <f t="shared" si="149"/>
        <v>114.04</v>
      </c>
      <c r="M99" s="512" t="str">
        <f t="shared" si="150"/>
        <v/>
      </c>
      <c r="N99" s="3"/>
      <c r="O99" s="3"/>
      <c r="P99" s="511">
        <f t="shared" si="151"/>
        <v>0</v>
      </c>
      <c r="Q99" s="512" t="str">
        <f t="shared" si="152"/>
        <v/>
      </c>
      <c r="R99" s="511">
        <f>461.15</f>
        <v>461.15</v>
      </c>
      <c r="S99" s="3"/>
      <c r="T99" s="511">
        <f t="shared" si="153"/>
        <v>461.15</v>
      </c>
      <c r="U99" s="512" t="str">
        <f t="shared" si="154"/>
        <v/>
      </c>
      <c r="V99" s="511">
        <f>109.86</f>
        <v>109.86</v>
      </c>
      <c r="W99" s="3"/>
      <c r="X99" s="511">
        <f t="shared" si="155"/>
        <v>109.86</v>
      </c>
      <c r="Y99" s="512" t="str">
        <f t="shared" si="156"/>
        <v/>
      </c>
      <c r="Z99" s="3"/>
      <c r="AA99" s="3"/>
      <c r="AB99" s="511">
        <f t="shared" si="157"/>
        <v>0</v>
      </c>
      <c r="AC99" s="512" t="str">
        <f t="shared" si="158"/>
        <v/>
      </c>
      <c r="AD99" s="3"/>
      <c r="AE99" s="3"/>
      <c r="AF99" s="511">
        <f t="shared" si="159"/>
        <v>0</v>
      </c>
      <c r="AG99" s="512" t="str">
        <f t="shared" si="160"/>
        <v/>
      </c>
      <c r="AH99" s="3"/>
      <c r="AI99" s="3"/>
      <c r="AJ99" s="511">
        <f t="shared" si="161"/>
        <v>0</v>
      </c>
      <c r="AK99" s="512" t="str">
        <f t="shared" si="162"/>
        <v/>
      </c>
      <c r="AL99" s="3"/>
      <c r="AM99" s="3"/>
      <c r="AN99" s="511">
        <f t="shared" si="163"/>
        <v>0</v>
      </c>
      <c r="AO99" s="512" t="str">
        <f t="shared" si="164"/>
        <v/>
      </c>
      <c r="AP99" s="3"/>
      <c r="AQ99" s="3"/>
      <c r="AR99" s="511">
        <f t="shared" si="165"/>
        <v>0</v>
      </c>
      <c r="AS99" s="512" t="str">
        <f t="shared" si="166"/>
        <v/>
      </c>
      <c r="AT99" s="3"/>
      <c r="AU99" s="3"/>
      <c r="AV99" s="511">
        <f t="shared" si="167"/>
        <v>0</v>
      </c>
      <c r="AW99" s="512" t="str">
        <f t="shared" si="168"/>
        <v/>
      </c>
      <c r="AX99" s="511">
        <f t="shared" si="169"/>
        <v>109.86</v>
      </c>
      <c r="AY99" s="511">
        <f t="shared" si="169"/>
        <v>0</v>
      </c>
      <c r="AZ99" s="511">
        <f t="shared" si="170"/>
        <v>109.86</v>
      </c>
      <c r="BA99" s="512" t="str">
        <f t="shared" si="171"/>
        <v/>
      </c>
      <c r="BB99" s="511">
        <f>10.02</f>
        <v>10.02</v>
      </c>
      <c r="BC99" s="3"/>
      <c r="BD99" s="511">
        <f t="shared" si="172"/>
        <v>10.02</v>
      </c>
      <c r="BE99" s="512" t="str">
        <f t="shared" si="173"/>
        <v/>
      </c>
      <c r="BF99" s="3"/>
      <c r="BG99" s="3"/>
      <c r="BH99" s="511">
        <f t="shared" si="174"/>
        <v>0</v>
      </c>
      <c r="BI99" s="512" t="str">
        <f t="shared" si="175"/>
        <v/>
      </c>
      <c r="BJ99" s="3"/>
      <c r="BK99" s="3"/>
      <c r="BL99" s="511">
        <f t="shared" si="176"/>
        <v>0</v>
      </c>
      <c r="BM99" s="512" t="str">
        <f t="shared" si="177"/>
        <v/>
      </c>
      <c r="BN99" s="3"/>
      <c r="BO99" s="3"/>
      <c r="BP99" s="511">
        <f t="shared" si="178"/>
        <v>0</v>
      </c>
      <c r="BQ99" s="512" t="str">
        <f t="shared" si="179"/>
        <v/>
      </c>
      <c r="BR99" s="511">
        <f t="shared" si="180"/>
        <v>10.02</v>
      </c>
      <c r="BS99" s="511">
        <f t="shared" si="180"/>
        <v>0</v>
      </c>
      <c r="BT99" s="511">
        <f t="shared" si="181"/>
        <v>10.02</v>
      </c>
      <c r="BU99" s="512" t="str">
        <f t="shared" si="182"/>
        <v/>
      </c>
      <c r="BV99" s="511">
        <f>8.31</f>
        <v>8.31</v>
      </c>
      <c r="BW99" s="3"/>
      <c r="BX99" s="511">
        <f t="shared" si="183"/>
        <v>8.31</v>
      </c>
      <c r="BY99" s="512" t="str">
        <f t="shared" si="184"/>
        <v/>
      </c>
      <c r="BZ99" s="511">
        <f>40.76</f>
        <v>40.76</v>
      </c>
      <c r="CA99" s="3"/>
      <c r="CB99" s="511">
        <f t="shared" si="185"/>
        <v>40.76</v>
      </c>
      <c r="CC99" s="512" t="str">
        <f t="shared" si="186"/>
        <v/>
      </c>
      <c r="CD99" s="511">
        <f>7.01</f>
        <v>7.01</v>
      </c>
      <c r="CE99" s="3"/>
      <c r="CF99" s="511">
        <f t="shared" si="187"/>
        <v>7.01</v>
      </c>
      <c r="CG99" s="512" t="str">
        <f t="shared" si="188"/>
        <v/>
      </c>
      <c r="CH99" s="3"/>
      <c r="CI99" s="3"/>
      <c r="CJ99" s="511">
        <f t="shared" si="189"/>
        <v>0</v>
      </c>
      <c r="CK99" s="512" t="str">
        <f t="shared" si="190"/>
        <v/>
      </c>
      <c r="CL99" s="511">
        <f t="shared" si="191"/>
        <v>7.01</v>
      </c>
      <c r="CM99" s="511">
        <f t="shared" si="191"/>
        <v>0</v>
      </c>
      <c r="CN99" s="511">
        <f t="shared" si="192"/>
        <v>7.01</v>
      </c>
      <c r="CO99" s="512" t="str">
        <f t="shared" si="193"/>
        <v/>
      </c>
      <c r="CP99" s="511">
        <f>3.02</f>
        <v>3.02</v>
      </c>
      <c r="CQ99" s="3"/>
      <c r="CR99" s="511">
        <f t="shared" si="194"/>
        <v>3.02</v>
      </c>
      <c r="CS99" s="512" t="str">
        <f t="shared" si="195"/>
        <v/>
      </c>
      <c r="CT99" s="511">
        <f>124.13</f>
        <v>124.13</v>
      </c>
      <c r="CU99" s="3"/>
      <c r="CV99" s="511">
        <f t="shared" si="196"/>
        <v>124.13</v>
      </c>
      <c r="CW99" s="512" t="str">
        <f t="shared" si="197"/>
        <v/>
      </c>
      <c r="CX99" s="511">
        <f t="shared" si="198"/>
        <v>127.14999999999999</v>
      </c>
      <c r="CY99" s="511">
        <f t="shared" si="198"/>
        <v>0</v>
      </c>
      <c r="CZ99" s="511">
        <f t="shared" si="199"/>
        <v>127.14999999999999</v>
      </c>
      <c r="DA99" s="512" t="str">
        <f t="shared" si="200"/>
        <v/>
      </c>
      <c r="DB99" s="511">
        <f>1096.81</f>
        <v>1096.81</v>
      </c>
      <c r="DC99" s="3"/>
      <c r="DD99" s="511">
        <f t="shared" si="201"/>
        <v>1096.81</v>
      </c>
      <c r="DE99" s="512" t="str">
        <f t="shared" si="202"/>
        <v/>
      </c>
      <c r="DF99" s="3"/>
      <c r="DG99" s="3"/>
      <c r="DH99" s="511">
        <f t="shared" si="203"/>
        <v>0</v>
      </c>
      <c r="DI99" s="512" t="str">
        <f t="shared" si="204"/>
        <v/>
      </c>
      <c r="DJ99" s="511">
        <f t="shared" si="205"/>
        <v>1096.81</v>
      </c>
      <c r="DK99" s="511">
        <f t="shared" si="205"/>
        <v>0</v>
      </c>
      <c r="DL99" s="511">
        <f t="shared" si="206"/>
        <v>1096.81</v>
      </c>
      <c r="DM99" s="512" t="str">
        <f t="shared" si="207"/>
        <v/>
      </c>
      <c r="DN99" s="3"/>
      <c r="DO99" s="3"/>
      <c r="DP99" s="511">
        <f t="shared" si="208"/>
        <v>0</v>
      </c>
      <c r="DQ99" s="512" t="str">
        <f t="shared" si="209"/>
        <v/>
      </c>
      <c r="DR99" s="511">
        <f t="shared" si="210"/>
        <v>2992.2200000000003</v>
      </c>
      <c r="DS99" s="511">
        <f t="shared" si="211"/>
        <v>0</v>
      </c>
      <c r="DT99" s="511">
        <f t="shared" si="212"/>
        <v>2992.2200000000003</v>
      </c>
      <c r="DU99" s="512" t="str">
        <f t="shared" si="213"/>
        <v/>
      </c>
    </row>
    <row r="100" spans="1:125" x14ac:dyDescent="0.25">
      <c r="A100" s="2" t="s">
        <v>895</v>
      </c>
      <c r="B100" s="511">
        <f>3392.43</f>
        <v>3392.43</v>
      </c>
      <c r="C100" s="511">
        <f>300</f>
        <v>300</v>
      </c>
      <c r="D100" s="511">
        <f t="shared" si="145"/>
        <v>3092.43</v>
      </c>
      <c r="E100" s="512">
        <f t="shared" si="146"/>
        <v>11.3081</v>
      </c>
      <c r="F100" s="3"/>
      <c r="G100" s="3"/>
      <c r="H100" s="511">
        <f t="shared" si="147"/>
        <v>0</v>
      </c>
      <c r="I100" s="512" t="str">
        <f t="shared" si="148"/>
        <v/>
      </c>
      <c r="J100" s="511">
        <f>13.49</f>
        <v>13.49</v>
      </c>
      <c r="K100" s="3"/>
      <c r="L100" s="511">
        <f t="shared" si="149"/>
        <v>13.49</v>
      </c>
      <c r="M100" s="512" t="str">
        <f t="shared" si="150"/>
        <v/>
      </c>
      <c r="N100" s="3"/>
      <c r="O100" s="3"/>
      <c r="P100" s="511">
        <f t="shared" si="151"/>
        <v>0</v>
      </c>
      <c r="Q100" s="512" t="str">
        <f t="shared" si="152"/>
        <v/>
      </c>
      <c r="R100" s="511">
        <f>76.74</f>
        <v>76.739999999999995</v>
      </c>
      <c r="S100" s="3"/>
      <c r="T100" s="511">
        <f t="shared" si="153"/>
        <v>76.739999999999995</v>
      </c>
      <c r="U100" s="512" t="str">
        <f t="shared" si="154"/>
        <v/>
      </c>
      <c r="V100" s="3"/>
      <c r="W100" s="3"/>
      <c r="X100" s="511">
        <f t="shared" si="155"/>
        <v>0</v>
      </c>
      <c r="Y100" s="512" t="str">
        <f t="shared" si="156"/>
        <v/>
      </c>
      <c r="Z100" s="3"/>
      <c r="AA100" s="3"/>
      <c r="AB100" s="511">
        <f t="shared" si="157"/>
        <v>0</v>
      </c>
      <c r="AC100" s="512" t="str">
        <f t="shared" si="158"/>
        <v/>
      </c>
      <c r="AD100" s="3"/>
      <c r="AE100" s="3"/>
      <c r="AF100" s="511">
        <f t="shared" si="159"/>
        <v>0</v>
      </c>
      <c r="AG100" s="512" t="str">
        <f t="shared" si="160"/>
        <v/>
      </c>
      <c r="AH100" s="3"/>
      <c r="AI100" s="3"/>
      <c r="AJ100" s="511">
        <f t="shared" si="161"/>
        <v>0</v>
      </c>
      <c r="AK100" s="512" t="str">
        <f t="shared" si="162"/>
        <v/>
      </c>
      <c r="AL100" s="3"/>
      <c r="AM100" s="3"/>
      <c r="AN100" s="511">
        <f t="shared" si="163"/>
        <v>0</v>
      </c>
      <c r="AO100" s="512" t="str">
        <f t="shared" si="164"/>
        <v/>
      </c>
      <c r="AP100" s="3"/>
      <c r="AQ100" s="3"/>
      <c r="AR100" s="511">
        <f t="shared" si="165"/>
        <v>0</v>
      </c>
      <c r="AS100" s="512" t="str">
        <f t="shared" si="166"/>
        <v/>
      </c>
      <c r="AT100" s="3"/>
      <c r="AU100" s="3"/>
      <c r="AV100" s="511">
        <f t="shared" si="167"/>
        <v>0</v>
      </c>
      <c r="AW100" s="512" t="str">
        <f t="shared" si="168"/>
        <v/>
      </c>
      <c r="AX100" s="511">
        <f t="shared" si="169"/>
        <v>0</v>
      </c>
      <c r="AY100" s="511">
        <f t="shared" si="169"/>
        <v>0</v>
      </c>
      <c r="AZ100" s="511">
        <f t="shared" si="170"/>
        <v>0</v>
      </c>
      <c r="BA100" s="512" t="str">
        <f t="shared" si="171"/>
        <v/>
      </c>
      <c r="BB100" s="511">
        <f>1.5</f>
        <v>1.5</v>
      </c>
      <c r="BC100" s="3"/>
      <c r="BD100" s="511">
        <f t="shared" si="172"/>
        <v>1.5</v>
      </c>
      <c r="BE100" s="512" t="str">
        <f t="shared" si="173"/>
        <v/>
      </c>
      <c r="BF100" s="3"/>
      <c r="BG100" s="3"/>
      <c r="BH100" s="511">
        <f t="shared" si="174"/>
        <v>0</v>
      </c>
      <c r="BI100" s="512" t="str">
        <f t="shared" si="175"/>
        <v/>
      </c>
      <c r="BJ100" s="511">
        <f>1.5</f>
        <v>1.5</v>
      </c>
      <c r="BK100" s="3"/>
      <c r="BL100" s="511">
        <f t="shared" si="176"/>
        <v>1.5</v>
      </c>
      <c r="BM100" s="512" t="str">
        <f t="shared" si="177"/>
        <v/>
      </c>
      <c r="BN100" s="3"/>
      <c r="BO100" s="3"/>
      <c r="BP100" s="511">
        <f t="shared" si="178"/>
        <v>0</v>
      </c>
      <c r="BQ100" s="512" t="str">
        <f t="shared" si="179"/>
        <v/>
      </c>
      <c r="BR100" s="511">
        <f t="shared" si="180"/>
        <v>3</v>
      </c>
      <c r="BS100" s="511">
        <f t="shared" si="180"/>
        <v>0</v>
      </c>
      <c r="BT100" s="511">
        <f t="shared" si="181"/>
        <v>3</v>
      </c>
      <c r="BU100" s="512" t="str">
        <f t="shared" si="182"/>
        <v/>
      </c>
      <c r="BV100" s="511">
        <f>3</f>
        <v>3</v>
      </c>
      <c r="BW100" s="3"/>
      <c r="BX100" s="511">
        <f t="shared" si="183"/>
        <v>3</v>
      </c>
      <c r="BY100" s="512" t="str">
        <f t="shared" si="184"/>
        <v/>
      </c>
      <c r="BZ100" s="511">
        <f>189.95</f>
        <v>189.95</v>
      </c>
      <c r="CA100" s="3"/>
      <c r="CB100" s="511">
        <f t="shared" si="185"/>
        <v>189.95</v>
      </c>
      <c r="CC100" s="512" t="str">
        <f t="shared" si="186"/>
        <v/>
      </c>
      <c r="CD100" s="3"/>
      <c r="CE100" s="3"/>
      <c r="CF100" s="511">
        <f t="shared" si="187"/>
        <v>0</v>
      </c>
      <c r="CG100" s="512" t="str">
        <f t="shared" si="188"/>
        <v/>
      </c>
      <c r="CH100" s="3"/>
      <c r="CI100" s="3"/>
      <c r="CJ100" s="511">
        <f t="shared" si="189"/>
        <v>0</v>
      </c>
      <c r="CK100" s="512" t="str">
        <f t="shared" si="190"/>
        <v/>
      </c>
      <c r="CL100" s="511">
        <f t="shared" si="191"/>
        <v>0</v>
      </c>
      <c r="CM100" s="511">
        <f t="shared" si="191"/>
        <v>0</v>
      </c>
      <c r="CN100" s="511">
        <f t="shared" si="192"/>
        <v>0</v>
      </c>
      <c r="CO100" s="512" t="str">
        <f t="shared" si="193"/>
        <v/>
      </c>
      <c r="CP100" s="3"/>
      <c r="CQ100" s="3"/>
      <c r="CR100" s="511">
        <f t="shared" si="194"/>
        <v>0</v>
      </c>
      <c r="CS100" s="512" t="str">
        <f t="shared" si="195"/>
        <v/>
      </c>
      <c r="CT100" s="3"/>
      <c r="CU100" s="3"/>
      <c r="CV100" s="511">
        <f t="shared" si="196"/>
        <v>0</v>
      </c>
      <c r="CW100" s="512" t="str">
        <f t="shared" si="197"/>
        <v/>
      </c>
      <c r="CX100" s="511">
        <f t="shared" si="198"/>
        <v>0</v>
      </c>
      <c r="CY100" s="511">
        <f t="shared" si="198"/>
        <v>0</v>
      </c>
      <c r="CZ100" s="511">
        <f t="shared" si="199"/>
        <v>0</v>
      </c>
      <c r="DA100" s="512" t="str">
        <f t="shared" si="200"/>
        <v/>
      </c>
      <c r="DB100" s="3"/>
      <c r="DC100" s="3"/>
      <c r="DD100" s="511">
        <f t="shared" si="201"/>
        <v>0</v>
      </c>
      <c r="DE100" s="512" t="str">
        <f t="shared" si="202"/>
        <v/>
      </c>
      <c r="DF100" s="3"/>
      <c r="DG100" s="3"/>
      <c r="DH100" s="511">
        <f t="shared" si="203"/>
        <v>0</v>
      </c>
      <c r="DI100" s="512" t="str">
        <f t="shared" si="204"/>
        <v/>
      </c>
      <c r="DJ100" s="511">
        <f t="shared" si="205"/>
        <v>0</v>
      </c>
      <c r="DK100" s="511">
        <f t="shared" si="205"/>
        <v>0</v>
      </c>
      <c r="DL100" s="511">
        <f t="shared" si="206"/>
        <v>0</v>
      </c>
      <c r="DM100" s="512" t="str">
        <f t="shared" si="207"/>
        <v/>
      </c>
      <c r="DN100" s="3"/>
      <c r="DO100" s="3"/>
      <c r="DP100" s="511">
        <f t="shared" si="208"/>
        <v>0</v>
      </c>
      <c r="DQ100" s="512" t="str">
        <f t="shared" si="209"/>
        <v/>
      </c>
      <c r="DR100" s="511">
        <f t="shared" si="210"/>
        <v>3678.6099999999992</v>
      </c>
      <c r="DS100" s="511">
        <f t="shared" si="211"/>
        <v>300</v>
      </c>
      <c r="DT100" s="511">
        <f t="shared" si="212"/>
        <v>3378.6099999999992</v>
      </c>
      <c r="DU100" s="512">
        <f t="shared" si="213"/>
        <v>12.262033333333331</v>
      </c>
    </row>
    <row r="101" spans="1:125" x14ac:dyDescent="0.25">
      <c r="A101" s="2" t="s">
        <v>107</v>
      </c>
      <c r="B101" s="511">
        <f>343.37</f>
        <v>343.37</v>
      </c>
      <c r="C101" s="511">
        <f>1000</f>
        <v>1000</v>
      </c>
      <c r="D101" s="511">
        <f t="shared" si="145"/>
        <v>-656.63</v>
      </c>
      <c r="E101" s="512">
        <f t="shared" si="146"/>
        <v>0.34337000000000001</v>
      </c>
      <c r="F101" s="3"/>
      <c r="G101" s="3"/>
      <c r="H101" s="511">
        <f t="shared" si="147"/>
        <v>0</v>
      </c>
      <c r="I101" s="512" t="str">
        <f t="shared" si="148"/>
        <v/>
      </c>
      <c r="J101" s="511">
        <f>17.05</f>
        <v>17.05</v>
      </c>
      <c r="K101" s="511">
        <f>55</f>
        <v>55</v>
      </c>
      <c r="L101" s="511">
        <f t="shared" si="149"/>
        <v>-37.950000000000003</v>
      </c>
      <c r="M101" s="512">
        <f t="shared" si="150"/>
        <v>0.31</v>
      </c>
      <c r="N101" s="3"/>
      <c r="O101" s="3"/>
      <c r="P101" s="511">
        <f t="shared" si="151"/>
        <v>0</v>
      </c>
      <c r="Q101" s="512" t="str">
        <f t="shared" si="152"/>
        <v/>
      </c>
      <c r="R101" s="3"/>
      <c r="S101" s="3"/>
      <c r="T101" s="511">
        <f t="shared" si="153"/>
        <v>0</v>
      </c>
      <c r="U101" s="512" t="str">
        <f t="shared" si="154"/>
        <v/>
      </c>
      <c r="V101" s="3"/>
      <c r="W101" s="511">
        <f>126</f>
        <v>126</v>
      </c>
      <c r="X101" s="511">
        <f t="shared" si="155"/>
        <v>-126</v>
      </c>
      <c r="Y101" s="512">
        <f t="shared" si="156"/>
        <v>0</v>
      </c>
      <c r="Z101" s="3"/>
      <c r="AA101" s="3"/>
      <c r="AB101" s="511">
        <f t="shared" si="157"/>
        <v>0</v>
      </c>
      <c r="AC101" s="512" t="str">
        <f t="shared" si="158"/>
        <v/>
      </c>
      <c r="AD101" s="3"/>
      <c r="AE101" s="3"/>
      <c r="AF101" s="511">
        <f t="shared" si="159"/>
        <v>0</v>
      </c>
      <c r="AG101" s="512" t="str">
        <f t="shared" si="160"/>
        <v/>
      </c>
      <c r="AH101" s="3"/>
      <c r="AI101" s="3"/>
      <c r="AJ101" s="511">
        <f t="shared" si="161"/>
        <v>0</v>
      </c>
      <c r="AK101" s="512" t="str">
        <f t="shared" si="162"/>
        <v/>
      </c>
      <c r="AL101" s="3"/>
      <c r="AM101" s="3"/>
      <c r="AN101" s="511">
        <f t="shared" si="163"/>
        <v>0</v>
      </c>
      <c r="AO101" s="512" t="str">
        <f t="shared" si="164"/>
        <v/>
      </c>
      <c r="AP101" s="3"/>
      <c r="AQ101" s="3"/>
      <c r="AR101" s="511">
        <f t="shared" si="165"/>
        <v>0</v>
      </c>
      <c r="AS101" s="512" t="str">
        <f t="shared" si="166"/>
        <v/>
      </c>
      <c r="AT101" s="3"/>
      <c r="AU101" s="3"/>
      <c r="AV101" s="511">
        <f t="shared" si="167"/>
        <v>0</v>
      </c>
      <c r="AW101" s="512" t="str">
        <f t="shared" si="168"/>
        <v/>
      </c>
      <c r="AX101" s="511">
        <f t="shared" si="169"/>
        <v>0</v>
      </c>
      <c r="AY101" s="511">
        <f t="shared" si="169"/>
        <v>126</v>
      </c>
      <c r="AZ101" s="511">
        <f t="shared" si="170"/>
        <v>-126</v>
      </c>
      <c r="BA101" s="512">
        <f t="shared" si="171"/>
        <v>0</v>
      </c>
      <c r="BB101" s="3"/>
      <c r="BC101" s="511">
        <f>86.9</f>
        <v>86.9</v>
      </c>
      <c r="BD101" s="511">
        <f t="shared" si="172"/>
        <v>-86.9</v>
      </c>
      <c r="BE101" s="512">
        <f t="shared" si="173"/>
        <v>0</v>
      </c>
      <c r="BF101" s="3"/>
      <c r="BG101" s="3"/>
      <c r="BH101" s="511">
        <f t="shared" si="174"/>
        <v>0</v>
      </c>
      <c r="BI101" s="512" t="str">
        <f t="shared" si="175"/>
        <v/>
      </c>
      <c r="BJ101" s="3"/>
      <c r="BK101" s="3"/>
      <c r="BL101" s="511">
        <f t="shared" si="176"/>
        <v>0</v>
      </c>
      <c r="BM101" s="512" t="str">
        <f t="shared" si="177"/>
        <v/>
      </c>
      <c r="BN101" s="3"/>
      <c r="BO101" s="3"/>
      <c r="BP101" s="511">
        <f t="shared" si="178"/>
        <v>0</v>
      </c>
      <c r="BQ101" s="512" t="str">
        <f t="shared" si="179"/>
        <v/>
      </c>
      <c r="BR101" s="511">
        <f t="shared" si="180"/>
        <v>0</v>
      </c>
      <c r="BS101" s="511">
        <f t="shared" si="180"/>
        <v>86.9</v>
      </c>
      <c r="BT101" s="511">
        <f t="shared" si="181"/>
        <v>-86.9</v>
      </c>
      <c r="BU101" s="512">
        <f t="shared" si="182"/>
        <v>0</v>
      </c>
      <c r="BV101" s="3"/>
      <c r="BW101" s="3"/>
      <c r="BX101" s="511">
        <f t="shared" si="183"/>
        <v>0</v>
      </c>
      <c r="BY101" s="512" t="str">
        <f t="shared" si="184"/>
        <v/>
      </c>
      <c r="BZ101" s="3"/>
      <c r="CA101" s="3"/>
      <c r="CB101" s="511">
        <f t="shared" si="185"/>
        <v>0</v>
      </c>
      <c r="CC101" s="512" t="str">
        <f t="shared" si="186"/>
        <v/>
      </c>
      <c r="CD101" s="3"/>
      <c r="CE101" s="3"/>
      <c r="CF101" s="511">
        <f t="shared" si="187"/>
        <v>0</v>
      </c>
      <c r="CG101" s="512" t="str">
        <f t="shared" si="188"/>
        <v/>
      </c>
      <c r="CH101" s="3"/>
      <c r="CI101" s="3"/>
      <c r="CJ101" s="511">
        <f t="shared" si="189"/>
        <v>0</v>
      </c>
      <c r="CK101" s="512" t="str">
        <f t="shared" si="190"/>
        <v/>
      </c>
      <c r="CL101" s="511">
        <f t="shared" si="191"/>
        <v>0</v>
      </c>
      <c r="CM101" s="511">
        <f t="shared" si="191"/>
        <v>0</v>
      </c>
      <c r="CN101" s="511">
        <f t="shared" si="192"/>
        <v>0</v>
      </c>
      <c r="CO101" s="512" t="str">
        <f t="shared" si="193"/>
        <v/>
      </c>
      <c r="CP101" s="3"/>
      <c r="CQ101" s="3"/>
      <c r="CR101" s="511">
        <f t="shared" si="194"/>
        <v>0</v>
      </c>
      <c r="CS101" s="512" t="str">
        <f t="shared" si="195"/>
        <v/>
      </c>
      <c r="CT101" s="511">
        <f>88.57</f>
        <v>88.57</v>
      </c>
      <c r="CU101" s="3"/>
      <c r="CV101" s="511">
        <f t="shared" si="196"/>
        <v>88.57</v>
      </c>
      <c r="CW101" s="512" t="str">
        <f t="shared" si="197"/>
        <v/>
      </c>
      <c r="CX101" s="511">
        <f t="shared" si="198"/>
        <v>88.57</v>
      </c>
      <c r="CY101" s="511">
        <f t="shared" si="198"/>
        <v>0</v>
      </c>
      <c r="CZ101" s="511">
        <f t="shared" si="199"/>
        <v>88.57</v>
      </c>
      <c r="DA101" s="512" t="str">
        <f t="shared" si="200"/>
        <v/>
      </c>
      <c r="DB101" s="511">
        <f>36.4</f>
        <v>36.4</v>
      </c>
      <c r="DC101" s="3"/>
      <c r="DD101" s="511">
        <f t="shared" si="201"/>
        <v>36.4</v>
      </c>
      <c r="DE101" s="512" t="str">
        <f t="shared" si="202"/>
        <v/>
      </c>
      <c r="DF101" s="3"/>
      <c r="DG101" s="3"/>
      <c r="DH101" s="511">
        <f t="shared" si="203"/>
        <v>0</v>
      </c>
      <c r="DI101" s="512" t="str">
        <f t="shared" si="204"/>
        <v/>
      </c>
      <c r="DJ101" s="511">
        <f t="shared" si="205"/>
        <v>36.4</v>
      </c>
      <c r="DK101" s="511">
        <f t="shared" si="205"/>
        <v>0</v>
      </c>
      <c r="DL101" s="511">
        <f t="shared" si="206"/>
        <v>36.4</v>
      </c>
      <c r="DM101" s="512" t="str">
        <f t="shared" si="207"/>
        <v/>
      </c>
      <c r="DN101" s="3"/>
      <c r="DO101" s="3"/>
      <c r="DP101" s="511">
        <f t="shared" si="208"/>
        <v>0</v>
      </c>
      <c r="DQ101" s="512" t="str">
        <f t="shared" si="209"/>
        <v/>
      </c>
      <c r="DR101" s="511">
        <f t="shared" si="210"/>
        <v>485.39</v>
      </c>
      <c r="DS101" s="511">
        <f t="shared" si="211"/>
        <v>1267.9000000000001</v>
      </c>
      <c r="DT101" s="511">
        <f t="shared" si="212"/>
        <v>-782.5100000000001</v>
      </c>
      <c r="DU101" s="512">
        <f t="shared" si="213"/>
        <v>0.38282987617319975</v>
      </c>
    </row>
    <row r="102" spans="1:125" x14ac:dyDescent="0.25">
      <c r="A102" s="2" t="s">
        <v>738</v>
      </c>
      <c r="B102" s="511">
        <f>2588.07</f>
        <v>2588.0700000000002</v>
      </c>
      <c r="C102" s="511">
        <f>2500</f>
        <v>2500</v>
      </c>
      <c r="D102" s="511">
        <f t="shared" si="145"/>
        <v>88.070000000000164</v>
      </c>
      <c r="E102" s="512">
        <f t="shared" si="146"/>
        <v>1.035228</v>
      </c>
      <c r="F102" s="511">
        <f>27.69</f>
        <v>27.69</v>
      </c>
      <c r="G102" s="511">
        <f>3160</f>
        <v>3160</v>
      </c>
      <c r="H102" s="511">
        <f t="shared" si="147"/>
        <v>-3132.31</v>
      </c>
      <c r="I102" s="512">
        <f t="shared" si="148"/>
        <v>8.7626582278481011E-3</v>
      </c>
      <c r="J102" s="511">
        <f>525</f>
        <v>525</v>
      </c>
      <c r="K102" s="3"/>
      <c r="L102" s="511">
        <f t="shared" si="149"/>
        <v>525</v>
      </c>
      <c r="M102" s="512" t="str">
        <f t="shared" si="150"/>
        <v/>
      </c>
      <c r="N102" s="3"/>
      <c r="O102" s="3"/>
      <c r="P102" s="511">
        <f t="shared" si="151"/>
        <v>0</v>
      </c>
      <c r="Q102" s="512" t="str">
        <f t="shared" si="152"/>
        <v/>
      </c>
      <c r="R102" s="3"/>
      <c r="S102" s="3"/>
      <c r="T102" s="511">
        <f t="shared" si="153"/>
        <v>0</v>
      </c>
      <c r="U102" s="512" t="str">
        <f t="shared" si="154"/>
        <v/>
      </c>
      <c r="V102" s="3"/>
      <c r="W102" s="511">
        <f>1080</f>
        <v>1080</v>
      </c>
      <c r="X102" s="511">
        <f t="shared" si="155"/>
        <v>-1080</v>
      </c>
      <c r="Y102" s="512">
        <f t="shared" si="156"/>
        <v>0</v>
      </c>
      <c r="Z102" s="3"/>
      <c r="AA102" s="3"/>
      <c r="AB102" s="511">
        <f t="shared" si="157"/>
        <v>0</v>
      </c>
      <c r="AC102" s="512" t="str">
        <f t="shared" si="158"/>
        <v/>
      </c>
      <c r="AD102" s="3"/>
      <c r="AE102" s="3"/>
      <c r="AF102" s="511">
        <f t="shared" si="159"/>
        <v>0</v>
      </c>
      <c r="AG102" s="512" t="str">
        <f t="shared" si="160"/>
        <v/>
      </c>
      <c r="AH102" s="3"/>
      <c r="AI102" s="3"/>
      <c r="AJ102" s="511">
        <f t="shared" si="161"/>
        <v>0</v>
      </c>
      <c r="AK102" s="512" t="str">
        <f t="shared" si="162"/>
        <v/>
      </c>
      <c r="AL102" s="3"/>
      <c r="AM102" s="3"/>
      <c r="AN102" s="511">
        <f t="shared" si="163"/>
        <v>0</v>
      </c>
      <c r="AO102" s="512" t="str">
        <f t="shared" si="164"/>
        <v/>
      </c>
      <c r="AP102" s="3"/>
      <c r="AQ102" s="3"/>
      <c r="AR102" s="511">
        <f t="shared" si="165"/>
        <v>0</v>
      </c>
      <c r="AS102" s="512" t="str">
        <f t="shared" si="166"/>
        <v/>
      </c>
      <c r="AT102" s="3"/>
      <c r="AU102" s="3"/>
      <c r="AV102" s="511">
        <f t="shared" si="167"/>
        <v>0</v>
      </c>
      <c r="AW102" s="512" t="str">
        <f t="shared" si="168"/>
        <v/>
      </c>
      <c r="AX102" s="511">
        <f t="shared" si="169"/>
        <v>0</v>
      </c>
      <c r="AY102" s="511">
        <f t="shared" si="169"/>
        <v>1080</v>
      </c>
      <c r="AZ102" s="511">
        <f t="shared" si="170"/>
        <v>-1080</v>
      </c>
      <c r="BA102" s="512">
        <f t="shared" si="171"/>
        <v>0</v>
      </c>
      <c r="BB102" s="3"/>
      <c r="BC102" s="511">
        <f>330</f>
        <v>330</v>
      </c>
      <c r="BD102" s="511">
        <f t="shared" si="172"/>
        <v>-330</v>
      </c>
      <c r="BE102" s="512">
        <f t="shared" si="173"/>
        <v>0</v>
      </c>
      <c r="BF102" s="3"/>
      <c r="BG102" s="3"/>
      <c r="BH102" s="511">
        <f t="shared" si="174"/>
        <v>0</v>
      </c>
      <c r="BI102" s="512" t="str">
        <f t="shared" si="175"/>
        <v/>
      </c>
      <c r="BJ102" s="511">
        <f>104.11</f>
        <v>104.11</v>
      </c>
      <c r="BK102" s="3"/>
      <c r="BL102" s="511">
        <f t="shared" si="176"/>
        <v>104.11</v>
      </c>
      <c r="BM102" s="512" t="str">
        <f t="shared" si="177"/>
        <v/>
      </c>
      <c r="BN102" s="3"/>
      <c r="BO102" s="3"/>
      <c r="BP102" s="511">
        <f t="shared" si="178"/>
        <v>0</v>
      </c>
      <c r="BQ102" s="512" t="str">
        <f t="shared" si="179"/>
        <v/>
      </c>
      <c r="BR102" s="511">
        <f t="shared" si="180"/>
        <v>104.11</v>
      </c>
      <c r="BS102" s="511">
        <f t="shared" si="180"/>
        <v>330</v>
      </c>
      <c r="BT102" s="511">
        <f t="shared" si="181"/>
        <v>-225.89</v>
      </c>
      <c r="BU102" s="512">
        <f t="shared" si="182"/>
        <v>0.31548484848484848</v>
      </c>
      <c r="BV102" s="3"/>
      <c r="BW102" s="3"/>
      <c r="BX102" s="511">
        <f t="shared" si="183"/>
        <v>0</v>
      </c>
      <c r="BY102" s="512" t="str">
        <f t="shared" si="184"/>
        <v/>
      </c>
      <c r="BZ102" s="3"/>
      <c r="CA102" s="3"/>
      <c r="CB102" s="511">
        <f t="shared" si="185"/>
        <v>0</v>
      </c>
      <c r="CC102" s="512" t="str">
        <f t="shared" si="186"/>
        <v/>
      </c>
      <c r="CD102" s="3"/>
      <c r="CE102" s="3"/>
      <c r="CF102" s="511">
        <f t="shared" si="187"/>
        <v>0</v>
      </c>
      <c r="CG102" s="512" t="str">
        <f t="shared" si="188"/>
        <v/>
      </c>
      <c r="CH102" s="3"/>
      <c r="CI102" s="3"/>
      <c r="CJ102" s="511">
        <f t="shared" si="189"/>
        <v>0</v>
      </c>
      <c r="CK102" s="512" t="str">
        <f t="shared" si="190"/>
        <v/>
      </c>
      <c r="CL102" s="511">
        <f t="shared" si="191"/>
        <v>0</v>
      </c>
      <c r="CM102" s="511">
        <f t="shared" si="191"/>
        <v>0</v>
      </c>
      <c r="CN102" s="511">
        <f t="shared" si="192"/>
        <v>0</v>
      </c>
      <c r="CO102" s="512" t="str">
        <f t="shared" si="193"/>
        <v/>
      </c>
      <c r="CP102" s="3"/>
      <c r="CQ102" s="3"/>
      <c r="CR102" s="511">
        <f t="shared" si="194"/>
        <v>0</v>
      </c>
      <c r="CS102" s="512" t="str">
        <f t="shared" si="195"/>
        <v/>
      </c>
      <c r="CT102" s="3"/>
      <c r="CU102" s="3"/>
      <c r="CV102" s="511">
        <f t="shared" si="196"/>
        <v>0</v>
      </c>
      <c r="CW102" s="512" t="str">
        <f t="shared" si="197"/>
        <v/>
      </c>
      <c r="CX102" s="511">
        <f t="shared" si="198"/>
        <v>0</v>
      </c>
      <c r="CY102" s="511">
        <f t="shared" si="198"/>
        <v>0</v>
      </c>
      <c r="CZ102" s="511">
        <f t="shared" si="199"/>
        <v>0</v>
      </c>
      <c r="DA102" s="512" t="str">
        <f t="shared" si="200"/>
        <v/>
      </c>
      <c r="DB102" s="511">
        <f>317.24</f>
        <v>317.24</v>
      </c>
      <c r="DC102" s="3"/>
      <c r="DD102" s="511">
        <f t="shared" si="201"/>
        <v>317.24</v>
      </c>
      <c r="DE102" s="512" t="str">
        <f t="shared" si="202"/>
        <v/>
      </c>
      <c r="DF102" s="3"/>
      <c r="DG102" s="3"/>
      <c r="DH102" s="511">
        <f t="shared" si="203"/>
        <v>0</v>
      </c>
      <c r="DI102" s="512" t="str">
        <f t="shared" si="204"/>
        <v/>
      </c>
      <c r="DJ102" s="511">
        <f t="shared" si="205"/>
        <v>317.24</v>
      </c>
      <c r="DK102" s="511">
        <f t="shared" si="205"/>
        <v>0</v>
      </c>
      <c r="DL102" s="511">
        <f t="shared" si="206"/>
        <v>317.24</v>
      </c>
      <c r="DM102" s="512" t="str">
        <f t="shared" si="207"/>
        <v/>
      </c>
      <c r="DN102" s="3"/>
      <c r="DO102" s="3"/>
      <c r="DP102" s="511">
        <f t="shared" si="208"/>
        <v>0</v>
      </c>
      <c r="DQ102" s="512" t="str">
        <f t="shared" si="209"/>
        <v/>
      </c>
      <c r="DR102" s="511">
        <f t="shared" si="210"/>
        <v>3562.1100000000006</v>
      </c>
      <c r="DS102" s="511">
        <f t="shared" si="211"/>
        <v>7070</v>
      </c>
      <c r="DT102" s="511">
        <f t="shared" si="212"/>
        <v>-3507.8899999999994</v>
      </c>
      <c r="DU102" s="512">
        <f t="shared" si="213"/>
        <v>0.50383451202263096</v>
      </c>
    </row>
    <row r="103" spans="1:125" x14ac:dyDescent="0.25">
      <c r="A103" s="2" t="s">
        <v>109</v>
      </c>
      <c r="B103" s="513">
        <f>((((((B96)+(B97))+(B98))+(B99))+(B100))+(B101))+(B102)</f>
        <v>9876.61</v>
      </c>
      <c r="C103" s="513">
        <f>((((((C96)+(C97))+(C98))+(C99))+(C100))+(C101))+(C102)</f>
        <v>4300</v>
      </c>
      <c r="D103" s="513">
        <f t="shared" si="145"/>
        <v>5576.6100000000006</v>
      </c>
      <c r="E103" s="514">
        <f t="shared" si="146"/>
        <v>2.2968860465116281</v>
      </c>
      <c r="F103" s="513">
        <f>((((((F96)+(F97))+(F98))+(F99))+(F100))+(F101))+(F102)</f>
        <v>174.32999999999998</v>
      </c>
      <c r="G103" s="513">
        <f>((((((G96)+(G97))+(G98))+(G99))+(G100))+(G101))+(G102)</f>
        <v>4010</v>
      </c>
      <c r="H103" s="513">
        <f t="shared" si="147"/>
        <v>-3835.67</v>
      </c>
      <c r="I103" s="514">
        <f t="shared" si="148"/>
        <v>4.3473815461346627E-2</v>
      </c>
      <c r="J103" s="513">
        <f>((((((J96)+(J97))+(J98))+(J99))+(J100))+(J101))+(J102)</f>
        <v>2195.9699999999998</v>
      </c>
      <c r="K103" s="513">
        <f>((((((K96)+(K97))+(K98))+(K99))+(K100))+(K101))+(K102)</f>
        <v>3182.5</v>
      </c>
      <c r="L103" s="513">
        <f t="shared" si="149"/>
        <v>-986.5300000000002</v>
      </c>
      <c r="M103" s="514">
        <f t="shared" si="150"/>
        <v>0.69001413982717985</v>
      </c>
      <c r="N103" s="513">
        <f>((((((N96)+(N97))+(N98))+(N99))+(N100))+(N101))+(N102)</f>
        <v>0</v>
      </c>
      <c r="O103" s="513">
        <f>((((((O96)+(O97))+(O98))+(O99))+(O100))+(O101))+(O102)</f>
        <v>0</v>
      </c>
      <c r="P103" s="513">
        <f t="shared" si="151"/>
        <v>0</v>
      </c>
      <c r="Q103" s="514" t="str">
        <f t="shared" si="152"/>
        <v/>
      </c>
      <c r="R103" s="513">
        <f>((((((R96)+(R97))+(R98))+(R99))+(R100))+(R101))+(R102)</f>
        <v>2689.0199999999995</v>
      </c>
      <c r="S103" s="513">
        <f>((((((S96)+(S97))+(S98))+(S99))+(S100))+(S101))+(S102)</f>
        <v>0</v>
      </c>
      <c r="T103" s="513">
        <f t="shared" si="153"/>
        <v>2689.0199999999995</v>
      </c>
      <c r="U103" s="514" t="str">
        <f t="shared" si="154"/>
        <v/>
      </c>
      <c r="V103" s="513">
        <f>((((((V96)+(V97))+(V98))+(V99))+(V100))+(V101))+(V102)</f>
        <v>1070.97</v>
      </c>
      <c r="W103" s="513">
        <f>((((((W96)+(W97))+(W98))+(W99))+(W100))+(W101))+(W102)</f>
        <v>7300.07</v>
      </c>
      <c r="X103" s="513">
        <f t="shared" si="155"/>
        <v>-6229.0999999999995</v>
      </c>
      <c r="Y103" s="514">
        <f t="shared" si="156"/>
        <v>0.14670681240042904</v>
      </c>
      <c r="Z103" s="513">
        <f>((((((Z96)+(Z97))+(Z98))+(Z99))+(Z100))+(Z101))+(Z102)</f>
        <v>0</v>
      </c>
      <c r="AA103" s="513">
        <f>((((((AA96)+(AA97))+(AA98))+(AA99))+(AA100))+(AA101))+(AA102)</f>
        <v>0</v>
      </c>
      <c r="AB103" s="513">
        <f t="shared" si="157"/>
        <v>0</v>
      </c>
      <c r="AC103" s="514" t="str">
        <f t="shared" si="158"/>
        <v/>
      </c>
      <c r="AD103" s="513">
        <f>((((((AD96)+(AD97))+(AD98))+(AD99))+(AD100))+(AD101))+(AD102)</f>
        <v>0</v>
      </c>
      <c r="AE103" s="513">
        <f>((((((AE96)+(AE97))+(AE98))+(AE99))+(AE100))+(AE101))+(AE102)</f>
        <v>0</v>
      </c>
      <c r="AF103" s="513">
        <f t="shared" si="159"/>
        <v>0</v>
      </c>
      <c r="AG103" s="514" t="str">
        <f t="shared" si="160"/>
        <v/>
      </c>
      <c r="AH103" s="513">
        <f>((((((AH96)+(AH97))+(AH98))+(AH99))+(AH100))+(AH101))+(AH102)</f>
        <v>0</v>
      </c>
      <c r="AI103" s="513">
        <f>((((((AI96)+(AI97))+(AI98))+(AI99))+(AI100))+(AI101))+(AI102)</f>
        <v>0</v>
      </c>
      <c r="AJ103" s="513">
        <f t="shared" si="161"/>
        <v>0</v>
      </c>
      <c r="AK103" s="514" t="str">
        <f t="shared" si="162"/>
        <v/>
      </c>
      <c r="AL103" s="513">
        <f>((((((AL96)+(AL97))+(AL98))+(AL99))+(AL100))+(AL101))+(AL102)</f>
        <v>0</v>
      </c>
      <c r="AM103" s="513">
        <f>((((((AM96)+(AM97))+(AM98))+(AM99))+(AM100))+(AM101))+(AM102)</f>
        <v>0</v>
      </c>
      <c r="AN103" s="513">
        <f t="shared" si="163"/>
        <v>0</v>
      </c>
      <c r="AO103" s="514" t="str">
        <f t="shared" si="164"/>
        <v/>
      </c>
      <c r="AP103" s="513">
        <f>((((((AP96)+(AP97))+(AP98))+(AP99))+(AP100))+(AP101))+(AP102)</f>
        <v>0</v>
      </c>
      <c r="AQ103" s="513">
        <f>((((((AQ96)+(AQ97))+(AQ98))+(AQ99))+(AQ100))+(AQ101))+(AQ102)</f>
        <v>0</v>
      </c>
      <c r="AR103" s="513">
        <f t="shared" si="165"/>
        <v>0</v>
      </c>
      <c r="AS103" s="514" t="str">
        <f t="shared" si="166"/>
        <v/>
      </c>
      <c r="AT103" s="513">
        <f>((((((AT96)+(AT97))+(AT98))+(AT99))+(AT100))+(AT101))+(AT102)</f>
        <v>0</v>
      </c>
      <c r="AU103" s="513">
        <f>((((((AU96)+(AU97))+(AU98))+(AU99))+(AU100))+(AU101))+(AU102)</f>
        <v>0</v>
      </c>
      <c r="AV103" s="513">
        <f t="shared" si="167"/>
        <v>0</v>
      </c>
      <c r="AW103" s="514" t="str">
        <f t="shared" si="168"/>
        <v/>
      </c>
      <c r="AX103" s="513">
        <f t="shared" si="169"/>
        <v>1070.97</v>
      </c>
      <c r="AY103" s="513">
        <f t="shared" si="169"/>
        <v>7300.07</v>
      </c>
      <c r="AZ103" s="513">
        <f t="shared" si="170"/>
        <v>-6229.0999999999995</v>
      </c>
      <c r="BA103" s="514">
        <f t="shared" si="171"/>
        <v>0.14670681240042904</v>
      </c>
      <c r="BB103" s="513">
        <f>((((((BB96)+(BB97))+(BB98))+(BB99))+(BB100))+(BB101))+(BB102)</f>
        <v>469.43999999999994</v>
      </c>
      <c r="BC103" s="513">
        <f>((((((BC96)+(BC97))+(BC98))+(BC99))+(BC100))+(BC101))+(BC102)</f>
        <v>1428.9</v>
      </c>
      <c r="BD103" s="513">
        <f t="shared" si="172"/>
        <v>-959.46000000000015</v>
      </c>
      <c r="BE103" s="514">
        <f t="shared" si="173"/>
        <v>0.3285324375393659</v>
      </c>
      <c r="BF103" s="513">
        <f>((((((BF96)+(BF97))+(BF98))+(BF99))+(BF100))+(BF101))+(BF102)</f>
        <v>0</v>
      </c>
      <c r="BG103" s="513">
        <f>((((((BG96)+(BG97))+(BG98))+(BG99))+(BG100))+(BG101))+(BG102)</f>
        <v>0</v>
      </c>
      <c r="BH103" s="513">
        <f t="shared" si="174"/>
        <v>0</v>
      </c>
      <c r="BI103" s="514" t="str">
        <f t="shared" si="175"/>
        <v/>
      </c>
      <c r="BJ103" s="513">
        <f>((((((BJ96)+(BJ97))+(BJ98))+(BJ99))+(BJ100))+(BJ101))+(BJ102)</f>
        <v>105.61</v>
      </c>
      <c r="BK103" s="513">
        <f>((((((BK96)+(BK97))+(BK98))+(BK99))+(BK100))+(BK101))+(BK102)</f>
        <v>0</v>
      </c>
      <c r="BL103" s="513">
        <f t="shared" si="176"/>
        <v>105.61</v>
      </c>
      <c r="BM103" s="514" t="str">
        <f t="shared" si="177"/>
        <v/>
      </c>
      <c r="BN103" s="513">
        <f>((((((BN96)+(BN97))+(BN98))+(BN99))+(BN100))+(BN101))+(BN102)</f>
        <v>0</v>
      </c>
      <c r="BO103" s="513">
        <f>((((((BO96)+(BO97))+(BO98))+(BO99))+(BO100))+(BO101))+(BO102)</f>
        <v>0</v>
      </c>
      <c r="BP103" s="513">
        <f t="shared" si="178"/>
        <v>0</v>
      </c>
      <c r="BQ103" s="514" t="str">
        <f t="shared" si="179"/>
        <v/>
      </c>
      <c r="BR103" s="513">
        <f t="shared" si="180"/>
        <v>575.04999999999995</v>
      </c>
      <c r="BS103" s="513">
        <f t="shared" si="180"/>
        <v>1428.9</v>
      </c>
      <c r="BT103" s="513">
        <f t="shared" si="181"/>
        <v>-853.85000000000014</v>
      </c>
      <c r="BU103" s="514">
        <f t="shared" si="182"/>
        <v>0.40244243823920495</v>
      </c>
      <c r="BV103" s="513">
        <f>((((((BV96)+(BV97))+(BV98))+(BV99))+(BV100))+(BV101))+(BV102)</f>
        <v>380.99</v>
      </c>
      <c r="BW103" s="513">
        <f>((((((BW96)+(BW97))+(BW98))+(BW99))+(BW100))+(BW101))+(BW102)</f>
        <v>13612.62</v>
      </c>
      <c r="BX103" s="513">
        <f t="shared" si="183"/>
        <v>-13231.630000000001</v>
      </c>
      <c r="BY103" s="514">
        <f t="shared" si="184"/>
        <v>2.7987999371171749E-2</v>
      </c>
      <c r="BZ103" s="513">
        <f>((((((BZ96)+(BZ97))+(BZ98))+(BZ99))+(BZ100))+(BZ101))+(BZ102)</f>
        <v>738.01</v>
      </c>
      <c r="CA103" s="513">
        <f>((((((CA96)+(CA97))+(CA98))+(CA99))+(CA100))+(CA101))+(CA102)</f>
        <v>0</v>
      </c>
      <c r="CB103" s="513">
        <f t="shared" si="185"/>
        <v>738.01</v>
      </c>
      <c r="CC103" s="514" t="str">
        <f t="shared" si="186"/>
        <v/>
      </c>
      <c r="CD103" s="513">
        <f>((((((CD96)+(CD97))+(CD98))+(CD99))+(CD100))+(CD101))+(CD102)</f>
        <v>98.65</v>
      </c>
      <c r="CE103" s="513">
        <f>((((((CE96)+(CE97))+(CE98))+(CE99))+(CE100))+(CE101))+(CE102)</f>
        <v>0</v>
      </c>
      <c r="CF103" s="513">
        <f t="shared" si="187"/>
        <v>98.65</v>
      </c>
      <c r="CG103" s="514" t="str">
        <f t="shared" si="188"/>
        <v/>
      </c>
      <c r="CH103" s="513">
        <f>((((((CH96)+(CH97))+(CH98))+(CH99))+(CH100))+(CH101))+(CH102)</f>
        <v>1.68</v>
      </c>
      <c r="CI103" s="513">
        <f>((((((CI96)+(CI97))+(CI98))+(CI99))+(CI100))+(CI101))+(CI102)</f>
        <v>0</v>
      </c>
      <c r="CJ103" s="513">
        <f t="shared" si="189"/>
        <v>1.68</v>
      </c>
      <c r="CK103" s="514" t="str">
        <f t="shared" si="190"/>
        <v/>
      </c>
      <c r="CL103" s="513">
        <f t="shared" si="191"/>
        <v>100.33000000000001</v>
      </c>
      <c r="CM103" s="513">
        <f t="shared" si="191"/>
        <v>0</v>
      </c>
      <c r="CN103" s="513">
        <f t="shared" si="192"/>
        <v>100.33000000000001</v>
      </c>
      <c r="CO103" s="514" t="str">
        <f t="shared" si="193"/>
        <v/>
      </c>
      <c r="CP103" s="513">
        <f>((((((CP96)+(CP97))+(CP98))+(CP99))+(CP100))+(CP101))+(CP102)</f>
        <v>42.300000000000004</v>
      </c>
      <c r="CQ103" s="513">
        <f>((((((CQ96)+(CQ97))+(CQ98))+(CQ99))+(CQ100))+(CQ101))+(CQ102)</f>
        <v>0</v>
      </c>
      <c r="CR103" s="513">
        <f t="shared" si="194"/>
        <v>42.300000000000004</v>
      </c>
      <c r="CS103" s="514" t="str">
        <f t="shared" si="195"/>
        <v/>
      </c>
      <c r="CT103" s="513">
        <f>((((((CT96)+(CT97))+(CT98))+(CT99))+(CT100))+(CT101))+(CT102)</f>
        <v>819.07999999999993</v>
      </c>
      <c r="CU103" s="513">
        <f>((((((CU96)+(CU97))+(CU98))+(CU99))+(CU100))+(CU101))+(CU102)</f>
        <v>1000</v>
      </c>
      <c r="CV103" s="513">
        <f t="shared" si="196"/>
        <v>-180.92000000000007</v>
      </c>
      <c r="CW103" s="514">
        <f t="shared" si="197"/>
        <v>0.81907999999999992</v>
      </c>
      <c r="CX103" s="513">
        <f t="shared" si="198"/>
        <v>861.37999999999988</v>
      </c>
      <c r="CY103" s="513">
        <f t="shared" si="198"/>
        <v>1000</v>
      </c>
      <c r="CZ103" s="513">
        <f t="shared" si="199"/>
        <v>-138.62000000000012</v>
      </c>
      <c r="DA103" s="514">
        <f t="shared" si="200"/>
        <v>0.86137999999999992</v>
      </c>
      <c r="DB103" s="513">
        <f>((((((DB96)+(DB97))+(DB98))+(DB99))+(DB100))+(DB101))+(DB102)</f>
        <v>1586.3600000000001</v>
      </c>
      <c r="DC103" s="513">
        <f>((((((DC96)+(DC97))+(DC98))+(DC99))+(DC100))+(DC101))+(DC102)</f>
        <v>0</v>
      </c>
      <c r="DD103" s="513">
        <f t="shared" si="201"/>
        <v>1586.3600000000001</v>
      </c>
      <c r="DE103" s="514" t="str">
        <f t="shared" si="202"/>
        <v/>
      </c>
      <c r="DF103" s="513">
        <f>((((((DF96)+(DF97))+(DF98))+(DF99))+(DF100))+(DF101))+(DF102)</f>
        <v>0</v>
      </c>
      <c r="DG103" s="513">
        <f>((((((DG96)+(DG97))+(DG98))+(DG99))+(DG100))+(DG101))+(DG102)</f>
        <v>0</v>
      </c>
      <c r="DH103" s="513">
        <f t="shared" si="203"/>
        <v>0</v>
      </c>
      <c r="DI103" s="514" t="str">
        <f t="shared" si="204"/>
        <v/>
      </c>
      <c r="DJ103" s="513">
        <f t="shared" si="205"/>
        <v>1586.3600000000001</v>
      </c>
      <c r="DK103" s="513">
        <f t="shared" si="205"/>
        <v>0</v>
      </c>
      <c r="DL103" s="513">
        <f t="shared" si="206"/>
        <v>1586.3600000000001</v>
      </c>
      <c r="DM103" s="514" t="str">
        <f t="shared" si="207"/>
        <v/>
      </c>
      <c r="DN103" s="513">
        <f>((((((DN96)+(DN97))+(DN98))+(DN99))+(DN100))+(DN101))+(DN102)</f>
        <v>0</v>
      </c>
      <c r="DO103" s="513">
        <f>((((((DO96)+(DO97))+(DO98))+(DO99))+(DO100))+(DO101))+(DO102)</f>
        <v>0</v>
      </c>
      <c r="DP103" s="513">
        <f t="shared" si="208"/>
        <v>0</v>
      </c>
      <c r="DQ103" s="514" t="str">
        <f t="shared" si="209"/>
        <v/>
      </c>
      <c r="DR103" s="513">
        <f t="shared" si="210"/>
        <v>20249.020000000004</v>
      </c>
      <c r="DS103" s="513">
        <f t="shared" si="211"/>
        <v>34834.090000000004</v>
      </c>
      <c r="DT103" s="513">
        <f t="shared" si="212"/>
        <v>-14585.07</v>
      </c>
      <c r="DU103" s="514">
        <f t="shared" si="213"/>
        <v>0.58129895168784373</v>
      </c>
    </row>
    <row r="104" spans="1:125" x14ac:dyDescent="0.25">
      <c r="A104" s="2" t="s">
        <v>110</v>
      </c>
      <c r="B104" s="511">
        <f>38.5</f>
        <v>38.5</v>
      </c>
      <c r="C104" s="3"/>
      <c r="D104" s="511">
        <f t="shared" si="145"/>
        <v>38.5</v>
      </c>
      <c r="E104" s="512" t="str">
        <f t="shared" si="146"/>
        <v/>
      </c>
      <c r="F104" s="3"/>
      <c r="G104" s="3"/>
      <c r="H104" s="511">
        <f t="shared" si="147"/>
        <v>0</v>
      </c>
      <c r="I104" s="512" t="str">
        <f t="shared" si="148"/>
        <v/>
      </c>
      <c r="J104" s="3"/>
      <c r="K104" s="3"/>
      <c r="L104" s="511">
        <f t="shared" si="149"/>
        <v>0</v>
      </c>
      <c r="M104" s="512" t="str">
        <f t="shared" si="150"/>
        <v/>
      </c>
      <c r="N104" s="3"/>
      <c r="O104" s="3"/>
      <c r="P104" s="511">
        <f t="shared" si="151"/>
        <v>0</v>
      </c>
      <c r="Q104" s="512" t="str">
        <f t="shared" si="152"/>
        <v/>
      </c>
      <c r="R104" s="511">
        <f>17.5</f>
        <v>17.5</v>
      </c>
      <c r="S104" s="3"/>
      <c r="T104" s="511">
        <f t="shared" si="153"/>
        <v>17.5</v>
      </c>
      <c r="U104" s="512" t="str">
        <f t="shared" si="154"/>
        <v/>
      </c>
      <c r="V104" s="3"/>
      <c r="W104" s="3"/>
      <c r="X104" s="511">
        <f t="shared" si="155"/>
        <v>0</v>
      </c>
      <c r="Y104" s="512" t="str">
        <f t="shared" si="156"/>
        <v/>
      </c>
      <c r="Z104" s="3"/>
      <c r="AA104" s="3"/>
      <c r="AB104" s="511">
        <f t="shared" si="157"/>
        <v>0</v>
      </c>
      <c r="AC104" s="512" t="str">
        <f t="shared" si="158"/>
        <v/>
      </c>
      <c r="AD104" s="3"/>
      <c r="AE104" s="3"/>
      <c r="AF104" s="511">
        <f t="shared" si="159"/>
        <v>0</v>
      </c>
      <c r="AG104" s="512" t="str">
        <f t="shared" si="160"/>
        <v/>
      </c>
      <c r="AH104" s="3"/>
      <c r="AI104" s="3"/>
      <c r="AJ104" s="511">
        <f t="shared" si="161"/>
        <v>0</v>
      </c>
      <c r="AK104" s="512" t="str">
        <f t="shared" si="162"/>
        <v/>
      </c>
      <c r="AL104" s="3"/>
      <c r="AM104" s="3"/>
      <c r="AN104" s="511">
        <f t="shared" si="163"/>
        <v>0</v>
      </c>
      <c r="AO104" s="512" t="str">
        <f t="shared" si="164"/>
        <v/>
      </c>
      <c r="AP104" s="3"/>
      <c r="AQ104" s="3"/>
      <c r="AR104" s="511">
        <f t="shared" si="165"/>
        <v>0</v>
      </c>
      <c r="AS104" s="512" t="str">
        <f t="shared" si="166"/>
        <v/>
      </c>
      <c r="AT104" s="3"/>
      <c r="AU104" s="3"/>
      <c r="AV104" s="511">
        <f t="shared" si="167"/>
        <v>0</v>
      </c>
      <c r="AW104" s="512" t="str">
        <f t="shared" si="168"/>
        <v/>
      </c>
      <c r="AX104" s="511">
        <f t="shared" si="169"/>
        <v>0</v>
      </c>
      <c r="AY104" s="511">
        <f t="shared" si="169"/>
        <v>0</v>
      </c>
      <c r="AZ104" s="511">
        <f t="shared" si="170"/>
        <v>0</v>
      </c>
      <c r="BA104" s="512" t="str">
        <f t="shared" si="171"/>
        <v/>
      </c>
      <c r="BB104" s="3"/>
      <c r="BC104" s="3"/>
      <c r="BD104" s="511">
        <f t="shared" si="172"/>
        <v>0</v>
      </c>
      <c r="BE104" s="512" t="str">
        <f t="shared" si="173"/>
        <v/>
      </c>
      <c r="BF104" s="3"/>
      <c r="BG104" s="3"/>
      <c r="BH104" s="511">
        <f t="shared" si="174"/>
        <v>0</v>
      </c>
      <c r="BI104" s="512" t="str">
        <f t="shared" si="175"/>
        <v/>
      </c>
      <c r="BJ104" s="3"/>
      <c r="BK104" s="3"/>
      <c r="BL104" s="511">
        <f t="shared" si="176"/>
        <v>0</v>
      </c>
      <c r="BM104" s="512" t="str">
        <f t="shared" si="177"/>
        <v/>
      </c>
      <c r="BN104" s="3"/>
      <c r="BO104" s="3"/>
      <c r="BP104" s="511">
        <f t="shared" si="178"/>
        <v>0</v>
      </c>
      <c r="BQ104" s="512" t="str">
        <f t="shared" si="179"/>
        <v/>
      </c>
      <c r="BR104" s="511">
        <f t="shared" si="180"/>
        <v>0</v>
      </c>
      <c r="BS104" s="511">
        <f t="shared" si="180"/>
        <v>0</v>
      </c>
      <c r="BT104" s="511">
        <f t="shared" si="181"/>
        <v>0</v>
      </c>
      <c r="BU104" s="512" t="str">
        <f t="shared" si="182"/>
        <v/>
      </c>
      <c r="BV104" s="3"/>
      <c r="BW104" s="3"/>
      <c r="BX104" s="511">
        <f t="shared" si="183"/>
        <v>0</v>
      </c>
      <c r="BY104" s="512" t="str">
        <f t="shared" si="184"/>
        <v/>
      </c>
      <c r="BZ104" s="511">
        <f>17.5</f>
        <v>17.5</v>
      </c>
      <c r="CA104" s="3"/>
      <c r="CB104" s="511">
        <f t="shared" si="185"/>
        <v>17.5</v>
      </c>
      <c r="CC104" s="512" t="str">
        <f t="shared" si="186"/>
        <v/>
      </c>
      <c r="CD104" s="3"/>
      <c r="CE104" s="3"/>
      <c r="CF104" s="511">
        <f t="shared" si="187"/>
        <v>0</v>
      </c>
      <c r="CG104" s="512" t="str">
        <f t="shared" si="188"/>
        <v/>
      </c>
      <c r="CH104" s="3"/>
      <c r="CI104" s="3"/>
      <c r="CJ104" s="511">
        <f t="shared" si="189"/>
        <v>0</v>
      </c>
      <c r="CK104" s="512" t="str">
        <f t="shared" si="190"/>
        <v/>
      </c>
      <c r="CL104" s="511">
        <f t="shared" si="191"/>
        <v>0</v>
      </c>
      <c r="CM104" s="511">
        <f t="shared" si="191"/>
        <v>0</v>
      </c>
      <c r="CN104" s="511">
        <f t="shared" si="192"/>
        <v>0</v>
      </c>
      <c r="CO104" s="512" t="str">
        <f t="shared" si="193"/>
        <v/>
      </c>
      <c r="CP104" s="3"/>
      <c r="CQ104" s="3"/>
      <c r="CR104" s="511">
        <f t="shared" si="194"/>
        <v>0</v>
      </c>
      <c r="CS104" s="512" t="str">
        <f t="shared" si="195"/>
        <v/>
      </c>
      <c r="CT104" s="3"/>
      <c r="CU104" s="3"/>
      <c r="CV104" s="511">
        <f t="shared" si="196"/>
        <v>0</v>
      </c>
      <c r="CW104" s="512" t="str">
        <f t="shared" si="197"/>
        <v/>
      </c>
      <c r="CX104" s="511">
        <f t="shared" si="198"/>
        <v>0</v>
      </c>
      <c r="CY104" s="511">
        <f t="shared" si="198"/>
        <v>0</v>
      </c>
      <c r="CZ104" s="511">
        <f t="shared" si="199"/>
        <v>0</v>
      </c>
      <c r="DA104" s="512" t="str">
        <f t="shared" si="200"/>
        <v/>
      </c>
      <c r="DB104" s="511">
        <f>103.5</f>
        <v>103.5</v>
      </c>
      <c r="DC104" s="3"/>
      <c r="DD104" s="511">
        <f t="shared" si="201"/>
        <v>103.5</v>
      </c>
      <c r="DE104" s="512" t="str">
        <f t="shared" si="202"/>
        <v/>
      </c>
      <c r="DF104" s="3"/>
      <c r="DG104" s="3"/>
      <c r="DH104" s="511">
        <f t="shared" si="203"/>
        <v>0</v>
      </c>
      <c r="DI104" s="512" t="str">
        <f t="shared" si="204"/>
        <v/>
      </c>
      <c r="DJ104" s="511">
        <f t="shared" si="205"/>
        <v>103.5</v>
      </c>
      <c r="DK104" s="511">
        <f t="shared" si="205"/>
        <v>0</v>
      </c>
      <c r="DL104" s="511">
        <f t="shared" si="206"/>
        <v>103.5</v>
      </c>
      <c r="DM104" s="512" t="str">
        <f t="shared" si="207"/>
        <v/>
      </c>
      <c r="DN104" s="3"/>
      <c r="DO104" s="3"/>
      <c r="DP104" s="511">
        <f t="shared" si="208"/>
        <v>0</v>
      </c>
      <c r="DQ104" s="512" t="str">
        <f t="shared" si="209"/>
        <v/>
      </c>
      <c r="DR104" s="511">
        <f t="shared" si="210"/>
        <v>177</v>
      </c>
      <c r="DS104" s="511">
        <f t="shared" si="211"/>
        <v>0</v>
      </c>
      <c r="DT104" s="511">
        <f t="shared" si="212"/>
        <v>177</v>
      </c>
      <c r="DU104" s="512" t="str">
        <f t="shared" si="213"/>
        <v/>
      </c>
    </row>
    <row r="105" spans="1:125" x14ac:dyDescent="0.25">
      <c r="A105" s="2" t="s">
        <v>111</v>
      </c>
      <c r="B105" s="511">
        <f>-500</f>
        <v>-500</v>
      </c>
      <c r="C105" s="3"/>
      <c r="D105" s="511">
        <f t="shared" si="145"/>
        <v>-500</v>
      </c>
      <c r="E105" s="512" t="str">
        <f t="shared" si="146"/>
        <v/>
      </c>
      <c r="F105" s="3"/>
      <c r="G105" s="3"/>
      <c r="H105" s="511">
        <f t="shared" si="147"/>
        <v>0</v>
      </c>
      <c r="I105" s="512" t="str">
        <f t="shared" si="148"/>
        <v/>
      </c>
      <c r="J105" s="3"/>
      <c r="K105" s="3"/>
      <c r="L105" s="511">
        <f t="shared" si="149"/>
        <v>0</v>
      </c>
      <c r="M105" s="512" t="str">
        <f t="shared" si="150"/>
        <v/>
      </c>
      <c r="N105" s="3"/>
      <c r="O105" s="3"/>
      <c r="P105" s="511">
        <f t="shared" si="151"/>
        <v>0</v>
      </c>
      <c r="Q105" s="512" t="str">
        <f t="shared" si="152"/>
        <v/>
      </c>
      <c r="R105" s="3"/>
      <c r="S105" s="3"/>
      <c r="T105" s="511">
        <f t="shared" si="153"/>
        <v>0</v>
      </c>
      <c r="U105" s="512" t="str">
        <f t="shared" si="154"/>
        <v/>
      </c>
      <c r="V105" s="3"/>
      <c r="W105" s="3"/>
      <c r="X105" s="511">
        <f t="shared" si="155"/>
        <v>0</v>
      </c>
      <c r="Y105" s="512" t="str">
        <f t="shared" si="156"/>
        <v/>
      </c>
      <c r="Z105" s="3"/>
      <c r="AA105" s="3"/>
      <c r="AB105" s="511">
        <f t="shared" si="157"/>
        <v>0</v>
      </c>
      <c r="AC105" s="512" t="str">
        <f t="shared" si="158"/>
        <v/>
      </c>
      <c r="AD105" s="3"/>
      <c r="AE105" s="3"/>
      <c r="AF105" s="511">
        <f t="shared" si="159"/>
        <v>0</v>
      </c>
      <c r="AG105" s="512" t="str">
        <f t="shared" si="160"/>
        <v/>
      </c>
      <c r="AH105" s="3"/>
      <c r="AI105" s="3"/>
      <c r="AJ105" s="511">
        <f t="shared" si="161"/>
        <v>0</v>
      </c>
      <c r="AK105" s="512" t="str">
        <f t="shared" si="162"/>
        <v/>
      </c>
      <c r="AL105" s="3"/>
      <c r="AM105" s="3"/>
      <c r="AN105" s="511">
        <f t="shared" si="163"/>
        <v>0</v>
      </c>
      <c r="AO105" s="512" t="str">
        <f t="shared" si="164"/>
        <v/>
      </c>
      <c r="AP105" s="3"/>
      <c r="AQ105" s="3"/>
      <c r="AR105" s="511">
        <f t="shared" si="165"/>
        <v>0</v>
      </c>
      <c r="AS105" s="512" t="str">
        <f t="shared" si="166"/>
        <v/>
      </c>
      <c r="AT105" s="3"/>
      <c r="AU105" s="3"/>
      <c r="AV105" s="511">
        <f t="shared" si="167"/>
        <v>0</v>
      </c>
      <c r="AW105" s="512" t="str">
        <f t="shared" si="168"/>
        <v/>
      </c>
      <c r="AX105" s="511">
        <f t="shared" si="169"/>
        <v>0</v>
      </c>
      <c r="AY105" s="511">
        <f t="shared" si="169"/>
        <v>0</v>
      </c>
      <c r="AZ105" s="511">
        <f t="shared" si="170"/>
        <v>0</v>
      </c>
      <c r="BA105" s="512" t="str">
        <f t="shared" si="171"/>
        <v/>
      </c>
      <c r="BB105" s="3"/>
      <c r="BC105" s="3"/>
      <c r="BD105" s="511">
        <f t="shared" si="172"/>
        <v>0</v>
      </c>
      <c r="BE105" s="512" t="str">
        <f t="shared" si="173"/>
        <v/>
      </c>
      <c r="BF105" s="3"/>
      <c r="BG105" s="3"/>
      <c r="BH105" s="511">
        <f t="shared" si="174"/>
        <v>0</v>
      </c>
      <c r="BI105" s="512" t="str">
        <f t="shared" si="175"/>
        <v/>
      </c>
      <c r="BJ105" s="3"/>
      <c r="BK105" s="3"/>
      <c r="BL105" s="511">
        <f t="shared" si="176"/>
        <v>0</v>
      </c>
      <c r="BM105" s="512" t="str">
        <f t="shared" si="177"/>
        <v/>
      </c>
      <c r="BN105" s="3"/>
      <c r="BO105" s="3"/>
      <c r="BP105" s="511">
        <f t="shared" si="178"/>
        <v>0</v>
      </c>
      <c r="BQ105" s="512" t="str">
        <f t="shared" si="179"/>
        <v/>
      </c>
      <c r="BR105" s="511">
        <f t="shared" si="180"/>
        <v>0</v>
      </c>
      <c r="BS105" s="511">
        <f t="shared" si="180"/>
        <v>0</v>
      </c>
      <c r="BT105" s="511">
        <f t="shared" si="181"/>
        <v>0</v>
      </c>
      <c r="BU105" s="512" t="str">
        <f t="shared" si="182"/>
        <v/>
      </c>
      <c r="BV105" s="3"/>
      <c r="BW105" s="3"/>
      <c r="BX105" s="511">
        <f t="shared" si="183"/>
        <v>0</v>
      </c>
      <c r="BY105" s="512" t="str">
        <f t="shared" si="184"/>
        <v/>
      </c>
      <c r="BZ105" s="3"/>
      <c r="CA105" s="3"/>
      <c r="CB105" s="511">
        <f t="shared" si="185"/>
        <v>0</v>
      </c>
      <c r="CC105" s="512" t="str">
        <f t="shared" si="186"/>
        <v/>
      </c>
      <c r="CD105" s="3"/>
      <c r="CE105" s="3"/>
      <c r="CF105" s="511">
        <f t="shared" si="187"/>
        <v>0</v>
      </c>
      <c r="CG105" s="512" t="str">
        <f t="shared" si="188"/>
        <v/>
      </c>
      <c r="CH105" s="3"/>
      <c r="CI105" s="3"/>
      <c r="CJ105" s="511">
        <f t="shared" si="189"/>
        <v>0</v>
      </c>
      <c r="CK105" s="512" t="str">
        <f t="shared" si="190"/>
        <v/>
      </c>
      <c r="CL105" s="511">
        <f t="shared" si="191"/>
        <v>0</v>
      </c>
      <c r="CM105" s="511">
        <f t="shared" si="191"/>
        <v>0</v>
      </c>
      <c r="CN105" s="511">
        <f t="shared" si="192"/>
        <v>0</v>
      </c>
      <c r="CO105" s="512" t="str">
        <f t="shared" si="193"/>
        <v/>
      </c>
      <c r="CP105" s="3"/>
      <c r="CQ105" s="3"/>
      <c r="CR105" s="511">
        <f t="shared" si="194"/>
        <v>0</v>
      </c>
      <c r="CS105" s="512" t="str">
        <f t="shared" si="195"/>
        <v/>
      </c>
      <c r="CT105" s="3"/>
      <c r="CU105" s="3"/>
      <c r="CV105" s="511">
        <f t="shared" si="196"/>
        <v>0</v>
      </c>
      <c r="CW105" s="512" t="str">
        <f t="shared" si="197"/>
        <v/>
      </c>
      <c r="CX105" s="511">
        <f t="shared" si="198"/>
        <v>0</v>
      </c>
      <c r="CY105" s="511">
        <f t="shared" si="198"/>
        <v>0</v>
      </c>
      <c r="CZ105" s="511">
        <f t="shared" si="199"/>
        <v>0</v>
      </c>
      <c r="DA105" s="512" t="str">
        <f t="shared" si="200"/>
        <v/>
      </c>
      <c r="DB105" s="3"/>
      <c r="DC105" s="3"/>
      <c r="DD105" s="511">
        <f t="shared" si="201"/>
        <v>0</v>
      </c>
      <c r="DE105" s="512" t="str">
        <f t="shared" si="202"/>
        <v/>
      </c>
      <c r="DF105" s="3"/>
      <c r="DG105" s="3"/>
      <c r="DH105" s="511">
        <f t="shared" si="203"/>
        <v>0</v>
      </c>
      <c r="DI105" s="512" t="str">
        <f t="shared" si="204"/>
        <v/>
      </c>
      <c r="DJ105" s="511">
        <f t="shared" si="205"/>
        <v>0</v>
      </c>
      <c r="DK105" s="511">
        <f t="shared" si="205"/>
        <v>0</v>
      </c>
      <c r="DL105" s="511">
        <f t="shared" si="206"/>
        <v>0</v>
      </c>
      <c r="DM105" s="512" t="str">
        <f t="shared" si="207"/>
        <v/>
      </c>
      <c r="DN105" s="511">
        <f>0</f>
        <v>0</v>
      </c>
      <c r="DO105" s="3"/>
      <c r="DP105" s="511">
        <f t="shared" si="208"/>
        <v>0</v>
      </c>
      <c r="DQ105" s="512" t="str">
        <f t="shared" si="209"/>
        <v/>
      </c>
      <c r="DR105" s="511">
        <f t="shared" si="210"/>
        <v>-500</v>
      </c>
      <c r="DS105" s="511">
        <f t="shared" si="211"/>
        <v>0</v>
      </c>
      <c r="DT105" s="511">
        <f t="shared" si="212"/>
        <v>-500</v>
      </c>
      <c r="DU105" s="512" t="str">
        <f t="shared" si="213"/>
        <v/>
      </c>
    </row>
    <row r="106" spans="1:125" x14ac:dyDescent="0.25">
      <c r="A106" s="2" t="s">
        <v>112</v>
      </c>
      <c r="B106" s="511">
        <f>5616.36</f>
        <v>5616.36</v>
      </c>
      <c r="C106" s="511">
        <f>12000</f>
        <v>12000</v>
      </c>
      <c r="D106" s="511">
        <f t="shared" si="145"/>
        <v>-6383.64</v>
      </c>
      <c r="E106" s="512">
        <f t="shared" si="146"/>
        <v>0.46802999999999995</v>
      </c>
      <c r="F106" s="511">
        <f>3484.44</f>
        <v>3484.44</v>
      </c>
      <c r="G106" s="511">
        <f>2065.56</f>
        <v>2065.56</v>
      </c>
      <c r="H106" s="511">
        <f t="shared" si="147"/>
        <v>1418.88</v>
      </c>
      <c r="I106" s="512">
        <f t="shared" si="148"/>
        <v>1.6869226747225934</v>
      </c>
      <c r="J106" s="511">
        <f>7104.79</f>
        <v>7104.79</v>
      </c>
      <c r="K106" s="511">
        <f>7485.35</f>
        <v>7485.35</v>
      </c>
      <c r="L106" s="511">
        <f t="shared" si="149"/>
        <v>-380.5600000000004</v>
      </c>
      <c r="M106" s="512">
        <f t="shared" si="150"/>
        <v>0.94915935794585415</v>
      </c>
      <c r="N106" s="3"/>
      <c r="O106" s="3"/>
      <c r="P106" s="511">
        <f t="shared" si="151"/>
        <v>0</v>
      </c>
      <c r="Q106" s="512" t="str">
        <f t="shared" si="152"/>
        <v/>
      </c>
      <c r="R106" s="511">
        <f>3589.14</f>
        <v>3589.14</v>
      </c>
      <c r="S106" s="3"/>
      <c r="T106" s="511">
        <f t="shared" si="153"/>
        <v>3589.14</v>
      </c>
      <c r="U106" s="512" t="str">
        <f t="shared" si="154"/>
        <v/>
      </c>
      <c r="V106" s="511">
        <f>9764.01</f>
        <v>9764.01</v>
      </c>
      <c r="W106" s="511">
        <f>11232</f>
        <v>11232</v>
      </c>
      <c r="X106" s="511">
        <f t="shared" si="155"/>
        <v>-1467.9899999999998</v>
      </c>
      <c r="Y106" s="512">
        <f t="shared" si="156"/>
        <v>0.86930288461538463</v>
      </c>
      <c r="Z106" s="3"/>
      <c r="AA106" s="3"/>
      <c r="AB106" s="511">
        <f t="shared" si="157"/>
        <v>0</v>
      </c>
      <c r="AC106" s="512" t="str">
        <f t="shared" si="158"/>
        <v/>
      </c>
      <c r="AD106" s="3"/>
      <c r="AE106" s="3"/>
      <c r="AF106" s="511">
        <f t="shared" si="159"/>
        <v>0</v>
      </c>
      <c r="AG106" s="512" t="str">
        <f t="shared" si="160"/>
        <v/>
      </c>
      <c r="AH106" s="511">
        <f>504.38</f>
        <v>504.38</v>
      </c>
      <c r="AI106" s="3"/>
      <c r="AJ106" s="511">
        <f t="shared" si="161"/>
        <v>504.38</v>
      </c>
      <c r="AK106" s="512" t="str">
        <f t="shared" si="162"/>
        <v/>
      </c>
      <c r="AL106" s="511">
        <f>500</f>
        <v>500</v>
      </c>
      <c r="AM106" s="3"/>
      <c r="AN106" s="511">
        <f t="shared" si="163"/>
        <v>500</v>
      </c>
      <c r="AO106" s="512" t="str">
        <f t="shared" si="164"/>
        <v/>
      </c>
      <c r="AP106" s="3"/>
      <c r="AQ106" s="3"/>
      <c r="AR106" s="511">
        <f t="shared" si="165"/>
        <v>0</v>
      </c>
      <c r="AS106" s="512" t="str">
        <f t="shared" si="166"/>
        <v/>
      </c>
      <c r="AT106" s="511">
        <f>600</f>
        <v>600</v>
      </c>
      <c r="AU106" s="3"/>
      <c r="AV106" s="511">
        <f t="shared" si="167"/>
        <v>600</v>
      </c>
      <c r="AW106" s="512" t="str">
        <f t="shared" si="168"/>
        <v/>
      </c>
      <c r="AX106" s="511">
        <f t="shared" si="169"/>
        <v>11368.39</v>
      </c>
      <c r="AY106" s="511">
        <f t="shared" si="169"/>
        <v>11232</v>
      </c>
      <c r="AZ106" s="511">
        <f t="shared" si="170"/>
        <v>136.38999999999942</v>
      </c>
      <c r="BA106" s="512">
        <f t="shared" si="171"/>
        <v>1.0121429843304843</v>
      </c>
      <c r="BB106" s="511">
        <f>6203.6</f>
        <v>6203.6</v>
      </c>
      <c r="BC106" s="511">
        <f>2801.7</f>
        <v>2801.7</v>
      </c>
      <c r="BD106" s="511">
        <f t="shared" si="172"/>
        <v>3401.9000000000005</v>
      </c>
      <c r="BE106" s="512">
        <f t="shared" si="173"/>
        <v>2.2142270764178895</v>
      </c>
      <c r="BF106" s="3"/>
      <c r="BG106" s="3"/>
      <c r="BH106" s="511">
        <f t="shared" si="174"/>
        <v>0</v>
      </c>
      <c r="BI106" s="512" t="str">
        <f t="shared" si="175"/>
        <v/>
      </c>
      <c r="BJ106" s="511">
        <f>600</f>
        <v>600</v>
      </c>
      <c r="BK106" s="3"/>
      <c r="BL106" s="511">
        <f t="shared" si="176"/>
        <v>600</v>
      </c>
      <c r="BM106" s="512" t="str">
        <f t="shared" si="177"/>
        <v/>
      </c>
      <c r="BN106" s="3"/>
      <c r="BO106" s="3"/>
      <c r="BP106" s="511">
        <f t="shared" si="178"/>
        <v>0</v>
      </c>
      <c r="BQ106" s="512" t="str">
        <f t="shared" si="179"/>
        <v/>
      </c>
      <c r="BR106" s="511">
        <f t="shared" si="180"/>
        <v>6803.6</v>
      </c>
      <c r="BS106" s="511">
        <f t="shared" si="180"/>
        <v>2801.7</v>
      </c>
      <c r="BT106" s="511">
        <f t="shared" si="181"/>
        <v>4001.9000000000005</v>
      </c>
      <c r="BU106" s="512">
        <f t="shared" si="182"/>
        <v>2.4283827676053829</v>
      </c>
      <c r="BV106" s="511">
        <f>3844.77</f>
        <v>3844.77</v>
      </c>
      <c r="BW106" s="511">
        <f>4709.03</f>
        <v>4709.03</v>
      </c>
      <c r="BX106" s="511">
        <f t="shared" si="183"/>
        <v>-864.25999999999976</v>
      </c>
      <c r="BY106" s="512">
        <f t="shared" si="184"/>
        <v>0.81646751029405207</v>
      </c>
      <c r="BZ106" s="511">
        <f>332.97</f>
        <v>332.97</v>
      </c>
      <c r="CA106" s="3"/>
      <c r="CB106" s="511">
        <f t="shared" si="185"/>
        <v>332.97</v>
      </c>
      <c r="CC106" s="512" t="str">
        <f t="shared" si="186"/>
        <v/>
      </c>
      <c r="CD106" s="511">
        <f>119.42</f>
        <v>119.42</v>
      </c>
      <c r="CE106" s="3"/>
      <c r="CF106" s="511">
        <f t="shared" si="187"/>
        <v>119.42</v>
      </c>
      <c r="CG106" s="512" t="str">
        <f t="shared" si="188"/>
        <v/>
      </c>
      <c r="CH106" s="3"/>
      <c r="CI106" s="3"/>
      <c r="CJ106" s="511">
        <f t="shared" si="189"/>
        <v>0</v>
      </c>
      <c r="CK106" s="512" t="str">
        <f t="shared" si="190"/>
        <v/>
      </c>
      <c r="CL106" s="511">
        <f t="shared" si="191"/>
        <v>119.42</v>
      </c>
      <c r="CM106" s="511">
        <f t="shared" si="191"/>
        <v>0</v>
      </c>
      <c r="CN106" s="511">
        <f t="shared" si="192"/>
        <v>119.42</v>
      </c>
      <c r="CO106" s="512" t="str">
        <f t="shared" si="193"/>
        <v/>
      </c>
      <c r="CP106" s="511">
        <f>116.18</f>
        <v>116.18</v>
      </c>
      <c r="CQ106" s="3"/>
      <c r="CR106" s="511">
        <f t="shared" si="194"/>
        <v>116.18</v>
      </c>
      <c r="CS106" s="512" t="str">
        <f t="shared" si="195"/>
        <v/>
      </c>
      <c r="CT106" s="511">
        <f>76.55</f>
        <v>76.55</v>
      </c>
      <c r="CU106" s="3"/>
      <c r="CV106" s="511">
        <f t="shared" si="196"/>
        <v>76.55</v>
      </c>
      <c r="CW106" s="512" t="str">
        <f t="shared" si="197"/>
        <v/>
      </c>
      <c r="CX106" s="511">
        <f t="shared" si="198"/>
        <v>192.73000000000002</v>
      </c>
      <c r="CY106" s="511">
        <f t="shared" si="198"/>
        <v>0</v>
      </c>
      <c r="CZ106" s="511">
        <f t="shared" si="199"/>
        <v>192.73000000000002</v>
      </c>
      <c r="DA106" s="512" t="str">
        <f t="shared" si="200"/>
        <v/>
      </c>
      <c r="DB106" s="3"/>
      <c r="DC106" s="3"/>
      <c r="DD106" s="511">
        <f t="shared" si="201"/>
        <v>0</v>
      </c>
      <c r="DE106" s="512" t="str">
        <f t="shared" si="202"/>
        <v/>
      </c>
      <c r="DF106" s="3"/>
      <c r="DG106" s="3"/>
      <c r="DH106" s="511">
        <f t="shared" si="203"/>
        <v>0</v>
      </c>
      <c r="DI106" s="512" t="str">
        <f t="shared" si="204"/>
        <v/>
      </c>
      <c r="DJ106" s="511">
        <f t="shared" si="205"/>
        <v>0</v>
      </c>
      <c r="DK106" s="511">
        <f t="shared" si="205"/>
        <v>0</v>
      </c>
      <c r="DL106" s="511">
        <f t="shared" si="206"/>
        <v>0</v>
      </c>
      <c r="DM106" s="512" t="str">
        <f t="shared" si="207"/>
        <v/>
      </c>
      <c r="DN106" s="3"/>
      <c r="DO106" s="3"/>
      <c r="DP106" s="511">
        <f t="shared" si="208"/>
        <v>0</v>
      </c>
      <c r="DQ106" s="512" t="str">
        <f t="shared" si="209"/>
        <v/>
      </c>
      <c r="DR106" s="511">
        <f t="shared" si="210"/>
        <v>42456.61</v>
      </c>
      <c r="DS106" s="511">
        <f t="shared" si="211"/>
        <v>40293.64</v>
      </c>
      <c r="DT106" s="511">
        <f t="shared" si="212"/>
        <v>2162.9700000000012</v>
      </c>
      <c r="DU106" s="512">
        <f t="shared" si="213"/>
        <v>1.0536801837709375</v>
      </c>
    </row>
    <row r="107" spans="1:125" x14ac:dyDescent="0.25">
      <c r="A107" s="2" t="s">
        <v>113</v>
      </c>
      <c r="B107" s="511">
        <f>958.96</f>
        <v>958.96</v>
      </c>
      <c r="C107" s="3"/>
      <c r="D107" s="511">
        <f t="shared" si="145"/>
        <v>958.96</v>
      </c>
      <c r="E107" s="512" t="str">
        <f t="shared" si="146"/>
        <v/>
      </c>
      <c r="F107" s="3"/>
      <c r="G107" s="3"/>
      <c r="H107" s="511">
        <f t="shared" si="147"/>
        <v>0</v>
      </c>
      <c r="I107" s="512" t="str">
        <f t="shared" si="148"/>
        <v/>
      </c>
      <c r="J107" s="511">
        <f>1653.01</f>
        <v>1653.01</v>
      </c>
      <c r="K107" s="511">
        <f>1284</f>
        <v>1284</v>
      </c>
      <c r="L107" s="511">
        <f t="shared" si="149"/>
        <v>369.01</v>
      </c>
      <c r="M107" s="512">
        <f t="shared" si="150"/>
        <v>1.2873909657320872</v>
      </c>
      <c r="N107" s="511">
        <f>1031.69</f>
        <v>1031.69</v>
      </c>
      <c r="O107" s="3"/>
      <c r="P107" s="511">
        <f t="shared" si="151"/>
        <v>1031.69</v>
      </c>
      <c r="Q107" s="512" t="str">
        <f t="shared" si="152"/>
        <v/>
      </c>
      <c r="R107" s="511">
        <f>548.2</f>
        <v>548.20000000000005</v>
      </c>
      <c r="S107" s="3"/>
      <c r="T107" s="511">
        <f t="shared" si="153"/>
        <v>548.20000000000005</v>
      </c>
      <c r="U107" s="512" t="str">
        <f t="shared" si="154"/>
        <v/>
      </c>
      <c r="V107" s="511">
        <f>2163.44</f>
        <v>2163.44</v>
      </c>
      <c r="W107" s="511">
        <f>3060</f>
        <v>3060</v>
      </c>
      <c r="X107" s="511">
        <f t="shared" si="155"/>
        <v>-896.56</v>
      </c>
      <c r="Y107" s="512">
        <f t="shared" si="156"/>
        <v>0.70700653594771246</v>
      </c>
      <c r="Z107" s="3"/>
      <c r="AA107" s="3"/>
      <c r="AB107" s="511">
        <f t="shared" si="157"/>
        <v>0</v>
      </c>
      <c r="AC107" s="512" t="str">
        <f t="shared" si="158"/>
        <v/>
      </c>
      <c r="AD107" s="3"/>
      <c r="AE107" s="3"/>
      <c r="AF107" s="511">
        <f t="shared" si="159"/>
        <v>0</v>
      </c>
      <c r="AG107" s="512" t="str">
        <f t="shared" si="160"/>
        <v/>
      </c>
      <c r="AH107" s="3"/>
      <c r="AI107" s="3"/>
      <c r="AJ107" s="511">
        <f t="shared" si="161"/>
        <v>0</v>
      </c>
      <c r="AK107" s="512" t="str">
        <f t="shared" si="162"/>
        <v/>
      </c>
      <c r="AL107" s="3"/>
      <c r="AM107" s="3"/>
      <c r="AN107" s="511">
        <f t="shared" si="163"/>
        <v>0</v>
      </c>
      <c r="AO107" s="512" t="str">
        <f t="shared" si="164"/>
        <v/>
      </c>
      <c r="AP107" s="3"/>
      <c r="AQ107" s="3"/>
      <c r="AR107" s="511">
        <f t="shared" si="165"/>
        <v>0</v>
      </c>
      <c r="AS107" s="512" t="str">
        <f t="shared" si="166"/>
        <v/>
      </c>
      <c r="AT107" s="3"/>
      <c r="AU107" s="3"/>
      <c r="AV107" s="511">
        <f t="shared" si="167"/>
        <v>0</v>
      </c>
      <c r="AW107" s="512" t="str">
        <f t="shared" si="168"/>
        <v/>
      </c>
      <c r="AX107" s="511">
        <f t="shared" si="169"/>
        <v>2163.44</v>
      </c>
      <c r="AY107" s="511">
        <f t="shared" si="169"/>
        <v>3060</v>
      </c>
      <c r="AZ107" s="511">
        <f t="shared" si="170"/>
        <v>-896.56</v>
      </c>
      <c r="BA107" s="512">
        <f t="shared" si="171"/>
        <v>0.70700653594771246</v>
      </c>
      <c r="BB107" s="511">
        <f>928.01</f>
        <v>928.01</v>
      </c>
      <c r="BC107" s="511">
        <f>2046</f>
        <v>2046</v>
      </c>
      <c r="BD107" s="511">
        <f t="shared" si="172"/>
        <v>-1117.99</v>
      </c>
      <c r="BE107" s="512">
        <f t="shared" si="173"/>
        <v>0.45357282502443791</v>
      </c>
      <c r="BF107" s="3"/>
      <c r="BG107" s="3"/>
      <c r="BH107" s="511">
        <f t="shared" si="174"/>
        <v>0</v>
      </c>
      <c r="BI107" s="512" t="str">
        <f t="shared" si="175"/>
        <v/>
      </c>
      <c r="BJ107" s="3"/>
      <c r="BK107" s="3"/>
      <c r="BL107" s="511">
        <f t="shared" si="176"/>
        <v>0</v>
      </c>
      <c r="BM107" s="512" t="str">
        <f t="shared" si="177"/>
        <v/>
      </c>
      <c r="BN107" s="3"/>
      <c r="BO107" s="3"/>
      <c r="BP107" s="511">
        <f t="shared" si="178"/>
        <v>0</v>
      </c>
      <c r="BQ107" s="512" t="str">
        <f t="shared" si="179"/>
        <v/>
      </c>
      <c r="BR107" s="511">
        <f t="shared" si="180"/>
        <v>928.01</v>
      </c>
      <c r="BS107" s="511">
        <f t="shared" si="180"/>
        <v>2046</v>
      </c>
      <c r="BT107" s="511">
        <f t="shared" si="181"/>
        <v>-1117.99</v>
      </c>
      <c r="BU107" s="512">
        <f t="shared" si="182"/>
        <v>0.45357282502443791</v>
      </c>
      <c r="BV107" s="511">
        <f>668.79</f>
        <v>668.79</v>
      </c>
      <c r="BW107" s="3"/>
      <c r="BX107" s="511">
        <f t="shared" si="183"/>
        <v>668.79</v>
      </c>
      <c r="BY107" s="512" t="str">
        <f t="shared" si="184"/>
        <v/>
      </c>
      <c r="BZ107" s="511">
        <f>302.53</f>
        <v>302.52999999999997</v>
      </c>
      <c r="CA107" s="3"/>
      <c r="CB107" s="511">
        <f t="shared" si="185"/>
        <v>302.52999999999997</v>
      </c>
      <c r="CC107" s="512" t="str">
        <f t="shared" si="186"/>
        <v/>
      </c>
      <c r="CD107" s="511">
        <f>146.24</f>
        <v>146.24</v>
      </c>
      <c r="CE107" s="3"/>
      <c r="CF107" s="511">
        <f t="shared" si="187"/>
        <v>146.24</v>
      </c>
      <c r="CG107" s="512" t="str">
        <f t="shared" si="188"/>
        <v/>
      </c>
      <c r="CH107" s="3"/>
      <c r="CI107" s="3"/>
      <c r="CJ107" s="511">
        <f t="shared" si="189"/>
        <v>0</v>
      </c>
      <c r="CK107" s="512" t="str">
        <f t="shared" si="190"/>
        <v/>
      </c>
      <c r="CL107" s="511">
        <f t="shared" si="191"/>
        <v>146.24</v>
      </c>
      <c r="CM107" s="511">
        <f t="shared" si="191"/>
        <v>0</v>
      </c>
      <c r="CN107" s="511">
        <f t="shared" si="192"/>
        <v>146.24</v>
      </c>
      <c r="CO107" s="512" t="str">
        <f t="shared" si="193"/>
        <v/>
      </c>
      <c r="CP107" s="511">
        <f>118.82</f>
        <v>118.82</v>
      </c>
      <c r="CQ107" s="3"/>
      <c r="CR107" s="511">
        <f t="shared" si="194"/>
        <v>118.82</v>
      </c>
      <c r="CS107" s="512" t="str">
        <f t="shared" si="195"/>
        <v/>
      </c>
      <c r="CT107" s="511">
        <f>56.68</f>
        <v>56.68</v>
      </c>
      <c r="CU107" s="3"/>
      <c r="CV107" s="511">
        <f t="shared" si="196"/>
        <v>56.68</v>
      </c>
      <c r="CW107" s="512" t="str">
        <f t="shared" si="197"/>
        <v/>
      </c>
      <c r="CX107" s="511">
        <f t="shared" si="198"/>
        <v>175.5</v>
      </c>
      <c r="CY107" s="511">
        <f t="shared" si="198"/>
        <v>0</v>
      </c>
      <c r="CZ107" s="511">
        <f t="shared" si="199"/>
        <v>175.5</v>
      </c>
      <c r="DA107" s="512" t="str">
        <f t="shared" si="200"/>
        <v/>
      </c>
      <c r="DB107" s="3"/>
      <c r="DC107" s="3"/>
      <c r="DD107" s="511">
        <f t="shared" si="201"/>
        <v>0</v>
      </c>
      <c r="DE107" s="512" t="str">
        <f t="shared" si="202"/>
        <v/>
      </c>
      <c r="DF107" s="3"/>
      <c r="DG107" s="3"/>
      <c r="DH107" s="511">
        <f t="shared" si="203"/>
        <v>0</v>
      </c>
      <c r="DI107" s="512" t="str">
        <f t="shared" si="204"/>
        <v/>
      </c>
      <c r="DJ107" s="511">
        <f t="shared" si="205"/>
        <v>0</v>
      </c>
      <c r="DK107" s="511">
        <f t="shared" si="205"/>
        <v>0</v>
      </c>
      <c r="DL107" s="511">
        <f t="shared" si="206"/>
        <v>0</v>
      </c>
      <c r="DM107" s="512" t="str">
        <f t="shared" si="207"/>
        <v/>
      </c>
      <c r="DN107" s="3"/>
      <c r="DO107" s="3"/>
      <c r="DP107" s="511">
        <f t="shared" si="208"/>
        <v>0</v>
      </c>
      <c r="DQ107" s="512" t="str">
        <f t="shared" si="209"/>
        <v/>
      </c>
      <c r="DR107" s="511">
        <f t="shared" si="210"/>
        <v>8576.3700000000008</v>
      </c>
      <c r="DS107" s="511">
        <f t="shared" si="211"/>
        <v>6390</v>
      </c>
      <c r="DT107" s="511">
        <f t="shared" si="212"/>
        <v>2186.3700000000008</v>
      </c>
      <c r="DU107" s="512">
        <f t="shared" si="213"/>
        <v>1.3421549295774649</v>
      </c>
    </row>
    <row r="108" spans="1:125" x14ac:dyDescent="0.25">
      <c r="A108" s="2" t="s">
        <v>114</v>
      </c>
      <c r="B108" s="511">
        <f>604.3</f>
        <v>604.29999999999995</v>
      </c>
      <c r="C108" s="511">
        <f>1200</f>
        <v>1200</v>
      </c>
      <c r="D108" s="511">
        <f t="shared" si="145"/>
        <v>-595.70000000000005</v>
      </c>
      <c r="E108" s="512">
        <f t="shared" si="146"/>
        <v>0.50358333333333327</v>
      </c>
      <c r="F108" s="511">
        <f>1015.41</f>
        <v>1015.41</v>
      </c>
      <c r="G108" s="511">
        <f>496.08</f>
        <v>496.08</v>
      </c>
      <c r="H108" s="511">
        <f t="shared" si="147"/>
        <v>519.32999999999993</v>
      </c>
      <c r="I108" s="512">
        <f t="shared" si="148"/>
        <v>2.0468674407353653</v>
      </c>
      <c r="J108" s="511">
        <f>782.24</f>
        <v>782.24</v>
      </c>
      <c r="K108" s="511">
        <f>570</f>
        <v>570</v>
      </c>
      <c r="L108" s="511">
        <f t="shared" si="149"/>
        <v>212.24</v>
      </c>
      <c r="M108" s="512">
        <f t="shared" si="150"/>
        <v>1.3723508771929824</v>
      </c>
      <c r="N108" s="3"/>
      <c r="O108" s="3"/>
      <c r="P108" s="511">
        <f t="shared" si="151"/>
        <v>0</v>
      </c>
      <c r="Q108" s="512" t="str">
        <f t="shared" si="152"/>
        <v/>
      </c>
      <c r="R108" s="511">
        <f>517.63</f>
        <v>517.63</v>
      </c>
      <c r="S108" s="3"/>
      <c r="T108" s="511">
        <f t="shared" si="153"/>
        <v>517.63</v>
      </c>
      <c r="U108" s="512" t="str">
        <f t="shared" si="154"/>
        <v/>
      </c>
      <c r="V108" s="511">
        <f>1128.52</f>
        <v>1128.52</v>
      </c>
      <c r="W108" s="511">
        <f>1296</f>
        <v>1296</v>
      </c>
      <c r="X108" s="511">
        <f t="shared" si="155"/>
        <v>-167.48000000000002</v>
      </c>
      <c r="Y108" s="512">
        <f t="shared" si="156"/>
        <v>0.87077160493827155</v>
      </c>
      <c r="Z108" s="3"/>
      <c r="AA108" s="3"/>
      <c r="AB108" s="511">
        <f t="shared" si="157"/>
        <v>0</v>
      </c>
      <c r="AC108" s="512" t="str">
        <f t="shared" si="158"/>
        <v/>
      </c>
      <c r="AD108" s="3"/>
      <c r="AE108" s="3"/>
      <c r="AF108" s="511">
        <f t="shared" si="159"/>
        <v>0</v>
      </c>
      <c r="AG108" s="512" t="str">
        <f t="shared" si="160"/>
        <v/>
      </c>
      <c r="AH108" s="3"/>
      <c r="AI108" s="3"/>
      <c r="AJ108" s="511">
        <f t="shared" si="161"/>
        <v>0</v>
      </c>
      <c r="AK108" s="512" t="str">
        <f t="shared" si="162"/>
        <v/>
      </c>
      <c r="AL108" s="3"/>
      <c r="AM108" s="3"/>
      <c r="AN108" s="511">
        <f t="shared" si="163"/>
        <v>0</v>
      </c>
      <c r="AO108" s="512" t="str">
        <f t="shared" si="164"/>
        <v/>
      </c>
      <c r="AP108" s="3"/>
      <c r="AQ108" s="3"/>
      <c r="AR108" s="511">
        <f t="shared" si="165"/>
        <v>0</v>
      </c>
      <c r="AS108" s="512" t="str">
        <f t="shared" si="166"/>
        <v/>
      </c>
      <c r="AT108" s="3"/>
      <c r="AU108" s="3"/>
      <c r="AV108" s="511">
        <f t="shared" si="167"/>
        <v>0</v>
      </c>
      <c r="AW108" s="512" t="str">
        <f t="shared" si="168"/>
        <v/>
      </c>
      <c r="AX108" s="511">
        <f t="shared" si="169"/>
        <v>1128.52</v>
      </c>
      <c r="AY108" s="511">
        <f t="shared" si="169"/>
        <v>1296</v>
      </c>
      <c r="AZ108" s="511">
        <f t="shared" si="170"/>
        <v>-167.48000000000002</v>
      </c>
      <c r="BA108" s="512">
        <f t="shared" si="171"/>
        <v>0.87077160493827155</v>
      </c>
      <c r="BB108" s="511">
        <f>509.32</f>
        <v>509.32</v>
      </c>
      <c r="BC108" s="511">
        <f>330</f>
        <v>330</v>
      </c>
      <c r="BD108" s="511">
        <f t="shared" si="172"/>
        <v>179.32</v>
      </c>
      <c r="BE108" s="512">
        <f t="shared" si="173"/>
        <v>1.5433939393939393</v>
      </c>
      <c r="BF108" s="3"/>
      <c r="BG108" s="3"/>
      <c r="BH108" s="511">
        <f t="shared" si="174"/>
        <v>0</v>
      </c>
      <c r="BI108" s="512" t="str">
        <f t="shared" si="175"/>
        <v/>
      </c>
      <c r="BJ108" s="3"/>
      <c r="BK108" s="3"/>
      <c r="BL108" s="511">
        <f t="shared" si="176"/>
        <v>0</v>
      </c>
      <c r="BM108" s="512" t="str">
        <f t="shared" si="177"/>
        <v/>
      </c>
      <c r="BN108" s="3"/>
      <c r="BO108" s="3"/>
      <c r="BP108" s="511">
        <f t="shared" si="178"/>
        <v>0</v>
      </c>
      <c r="BQ108" s="512" t="str">
        <f t="shared" si="179"/>
        <v/>
      </c>
      <c r="BR108" s="511">
        <f t="shared" si="180"/>
        <v>509.32</v>
      </c>
      <c r="BS108" s="511">
        <f t="shared" si="180"/>
        <v>330</v>
      </c>
      <c r="BT108" s="511">
        <f t="shared" si="181"/>
        <v>179.32</v>
      </c>
      <c r="BU108" s="512">
        <f t="shared" si="182"/>
        <v>1.5433939393939393</v>
      </c>
      <c r="BV108" s="511">
        <f>349.88</f>
        <v>349.88</v>
      </c>
      <c r="BW108" s="3"/>
      <c r="BX108" s="511">
        <f t="shared" si="183"/>
        <v>349.88</v>
      </c>
      <c r="BY108" s="512" t="str">
        <f t="shared" si="184"/>
        <v/>
      </c>
      <c r="BZ108" s="511">
        <f>185.18</f>
        <v>185.18</v>
      </c>
      <c r="CA108" s="3"/>
      <c r="CB108" s="511">
        <f t="shared" si="185"/>
        <v>185.18</v>
      </c>
      <c r="CC108" s="512" t="str">
        <f t="shared" si="186"/>
        <v/>
      </c>
      <c r="CD108" s="511">
        <f>117.1</f>
        <v>117.1</v>
      </c>
      <c r="CE108" s="3"/>
      <c r="CF108" s="511">
        <f t="shared" si="187"/>
        <v>117.1</v>
      </c>
      <c r="CG108" s="512" t="str">
        <f t="shared" si="188"/>
        <v/>
      </c>
      <c r="CH108" s="3"/>
      <c r="CI108" s="3"/>
      <c r="CJ108" s="511">
        <f t="shared" si="189"/>
        <v>0</v>
      </c>
      <c r="CK108" s="512" t="str">
        <f t="shared" si="190"/>
        <v/>
      </c>
      <c r="CL108" s="511">
        <f t="shared" si="191"/>
        <v>117.1</v>
      </c>
      <c r="CM108" s="511">
        <f t="shared" si="191"/>
        <v>0</v>
      </c>
      <c r="CN108" s="511">
        <f t="shared" si="192"/>
        <v>117.1</v>
      </c>
      <c r="CO108" s="512" t="str">
        <f t="shared" si="193"/>
        <v/>
      </c>
      <c r="CP108" s="511">
        <f>63.68</f>
        <v>63.68</v>
      </c>
      <c r="CQ108" s="3"/>
      <c r="CR108" s="511">
        <f t="shared" si="194"/>
        <v>63.68</v>
      </c>
      <c r="CS108" s="512" t="str">
        <f t="shared" si="195"/>
        <v/>
      </c>
      <c r="CT108" s="511">
        <f>54.59</f>
        <v>54.59</v>
      </c>
      <c r="CU108" s="3"/>
      <c r="CV108" s="511">
        <f t="shared" si="196"/>
        <v>54.59</v>
      </c>
      <c r="CW108" s="512" t="str">
        <f t="shared" si="197"/>
        <v/>
      </c>
      <c r="CX108" s="511">
        <f t="shared" si="198"/>
        <v>118.27000000000001</v>
      </c>
      <c r="CY108" s="511">
        <f t="shared" si="198"/>
        <v>0</v>
      </c>
      <c r="CZ108" s="511">
        <f t="shared" si="199"/>
        <v>118.27000000000001</v>
      </c>
      <c r="DA108" s="512" t="str">
        <f t="shared" si="200"/>
        <v/>
      </c>
      <c r="DB108" s="3"/>
      <c r="DC108" s="3"/>
      <c r="DD108" s="511">
        <f t="shared" si="201"/>
        <v>0</v>
      </c>
      <c r="DE108" s="512" t="str">
        <f t="shared" si="202"/>
        <v/>
      </c>
      <c r="DF108" s="3"/>
      <c r="DG108" s="3"/>
      <c r="DH108" s="511">
        <f t="shared" si="203"/>
        <v>0</v>
      </c>
      <c r="DI108" s="512" t="str">
        <f t="shared" si="204"/>
        <v/>
      </c>
      <c r="DJ108" s="511">
        <f t="shared" si="205"/>
        <v>0</v>
      </c>
      <c r="DK108" s="511">
        <f t="shared" si="205"/>
        <v>0</v>
      </c>
      <c r="DL108" s="511">
        <f t="shared" si="206"/>
        <v>0</v>
      </c>
      <c r="DM108" s="512" t="str">
        <f t="shared" si="207"/>
        <v/>
      </c>
      <c r="DN108" s="3"/>
      <c r="DO108" s="3"/>
      <c r="DP108" s="511">
        <f t="shared" si="208"/>
        <v>0</v>
      </c>
      <c r="DQ108" s="512" t="str">
        <f t="shared" si="209"/>
        <v/>
      </c>
      <c r="DR108" s="511">
        <f t="shared" si="210"/>
        <v>5327.8500000000013</v>
      </c>
      <c r="DS108" s="511">
        <f t="shared" si="211"/>
        <v>3892.08</v>
      </c>
      <c r="DT108" s="511">
        <f t="shared" si="212"/>
        <v>1435.7700000000013</v>
      </c>
      <c r="DU108" s="512">
        <f t="shared" si="213"/>
        <v>1.3688952950607391</v>
      </c>
    </row>
    <row r="109" spans="1:125" x14ac:dyDescent="0.25">
      <c r="A109" s="2" t="s">
        <v>115</v>
      </c>
      <c r="B109" s="513">
        <f>((B106)+(B107))+(B108)</f>
        <v>7179.62</v>
      </c>
      <c r="C109" s="513">
        <f>((C106)+(C107))+(C108)</f>
        <v>13200</v>
      </c>
      <c r="D109" s="513">
        <f t="shared" si="145"/>
        <v>-6020.38</v>
      </c>
      <c r="E109" s="514">
        <f t="shared" si="146"/>
        <v>0.54391060606060604</v>
      </c>
      <c r="F109" s="513">
        <f>((F106)+(F107))+(F108)</f>
        <v>4499.8500000000004</v>
      </c>
      <c r="G109" s="513">
        <f>((G106)+(G107))+(G108)</f>
        <v>2561.64</v>
      </c>
      <c r="H109" s="513">
        <f t="shared" si="147"/>
        <v>1938.2100000000005</v>
      </c>
      <c r="I109" s="514">
        <f t="shared" si="148"/>
        <v>1.7566285660748586</v>
      </c>
      <c r="J109" s="513">
        <f>((J106)+(J107))+(J108)</f>
        <v>9540.0399999999991</v>
      </c>
      <c r="K109" s="513">
        <f>((K106)+(K107))+(K108)</f>
        <v>9339.35</v>
      </c>
      <c r="L109" s="513">
        <f t="shared" si="149"/>
        <v>200.68999999999869</v>
      </c>
      <c r="M109" s="514">
        <f t="shared" si="150"/>
        <v>1.0214886474968814</v>
      </c>
      <c r="N109" s="513">
        <f>((N106)+(N107))+(N108)</f>
        <v>1031.69</v>
      </c>
      <c r="O109" s="513">
        <f>((O106)+(O107))+(O108)</f>
        <v>0</v>
      </c>
      <c r="P109" s="513">
        <f t="shared" si="151"/>
        <v>1031.69</v>
      </c>
      <c r="Q109" s="514" t="str">
        <f t="shared" si="152"/>
        <v/>
      </c>
      <c r="R109" s="513">
        <f>((R106)+(R107))+(R108)</f>
        <v>4654.97</v>
      </c>
      <c r="S109" s="513">
        <f>((S106)+(S107))+(S108)</f>
        <v>0</v>
      </c>
      <c r="T109" s="513">
        <f t="shared" si="153"/>
        <v>4654.97</v>
      </c>
      <c r="U109" s="514" t="str">
        <f t="shared" si="154"/>
        <v/>
      </c>
      <c r="V109" s="513">
        <f>((V106)+(V107))+(V108)</f>
        <v>13055.970000000001</v>
      </c>
      <c r="W109" s="513">
        <f>((W106)+(W107))+(W108)</f>
        <v>15588</v>
      </c>
      <c r="X109" s="513">
        <f t="shared" si="155"/>
        <v>-2532.0299999999988</v>
      </c>
      <c r="Y109" s="514">
        <f t="shared" si="156"/>
        <v>0.83756543494996161</v>
      </c>
      <c r="Z109" s="513">
        <f>((Z106)+(Z107))+(Z108)</f>
        <v>0</v>
      </c>
      <c r="AA109" s="513">
        <f>((AA106)+(AA107))+(AA108)</f>
        <v>0</v>
      </c>
      <c r="AB109" s="513">
        <f t="shared" si="157"/>
        <v>0</v>
      </c>
      <c r="AC109" s="514" t="str">
        <f t="shared" si="158"/>
        <v/>
      </c>
      <c r="AD109" s="513">
        <f>((AD106)+(AD107))+(AD108)</f>
        <v>0</v>
      </c>
      <c r="AE109" s="513">
        <f>((AE106)+(AE107))+(AE108)</f>
        <v>0</v>
      </c>
      <c r="AF109" s="513">
        <f t="shared" si="159"/>
        <v>0</v>
      </c>
      <c r="AG109" s="514" t="str">
        <f t="shared" si="160"/>
        <v/>
      </c>
      <c r="AH109" s="513">
        <f>((AH106)+(AH107))+(AH108)</f>
        <v>504.38</v>
      </c>
      <c r="AI109" s="513">
        <f>((AI106)+(AI107))+(AI108)</f>
        <v>0</v>
      </c>
      <c r="AJ109" s="513">
        <f t="shared" si="161"/>
        <v>504.38</v>
      </c>
      <c r="AK109" s="514" t="str">
        <f t="shared" si="162"/>
        <v/>
      </c>
      <c r="AL109" s="513">
        <f>((AL106)+(AL107))+(AL108)</f>
        <v>500</v>
      </c>
      <c r="AM109" s="513">
        <f>((AM106)+(AM107))+(AM108)</f>
        <v>0</v>
      </c>
      <c r="AN109" s="513">
        <f t="shared" si="163"/>
        <v>500</v>
      </c>
      <c r="AO109" s="514" t="str">
        <f t="shared" si="164"/>
        <v/>
      </c>
      <c r="AP109" s="513">
        <f>((AP106)+(AP107))+(AP108)</f>
        <v>0</v>
      </c>
      <c r="AQ109" s="513">
        <f>((AQ106)+(AQ107))+(AQ108)</f>
        <v>0</v>
      </c>
      <c r="AR109" s="513">
        <f t="shared" si="165"/>
        <v>0</v>
      </c>
      <c r="AS109" s="514" t="str">
        <f t="shared" si="166"/>
        <v/>
      </c>
      <c r="AT109" s="513">
        <f>((AT106)+(AT107))+(AT108)</f>
        <v>600</v>
      </c>
      <c r="AU109" s="513">
        <f>((AU106)+(AU107))+(AU108)</f>
        <v>0</v>
      </c>
      <c r="AV109" s="513">
        <f t="shared" si="167"/>
        <v>600</v>
      </c>
      <c r="AW109" s="514" t="str">
        <f t="shared" si="168"/>
        <v/>
      </c>
      <c r="AX109" s="513">
        <f t="shared" si="169"/>
        <v>14660.35</v>
      </c>
      <c r="AY109" s="513">
        <f t="shared" si="169"/>
        <v>15588</v>
      </c>
      <c r="AZ109" s="513">
        <f t="shared" si="170"/>
        <v>-927.64999999999964</v>
      </c>
      <c r="BA109" s="514">
        <f t="shared" si="171"/>
        <v>0.94048947908647684</v>
      </c>
      <c r="BB109" s="513">
        <f>((BB106)+(BB107))+(BB108)</f>
        <v>7640.93</v>
      </c>
      <c r="BC109" s="513">
        <f>((BC106)+(BC107))+(BC108)</f>
        <v>5177.7</v>
      </c>
      <c r="BD109" s="513">
        <f t="shared" si="172"/>
        <v>2463.2300000000005</v>
      </c>
      <c r="BE109" s="514">
        <f t="shared" si="173"/>
        <v>1.4757382621627364</v>
      </c>
      <c r="BF109" s="513">
        <f>((BF106)+(BF107))+(BF108)</f>
        <v>0</v>
      </c>
      <c r="BG109" s="513">
        <f>((BG106)+(BG107))+(BG108)</f>
        <v>0</v>
      </c>
      <c r="BH109" s="513">
        <f t="shared" si="174"/>
        <v>0</v>
      </c>
      <c r="BI109" s="514" t="str">
        <f t="shared" si="175"/>
        <v/>
      </c>
      <c r="BJ109" s="513">
        <f>((BJ106)+(BJ107))+(BJ108)</f>
        <v>600</v>
      </c>
      <c r="BK109" s="513">
        <f>((BK106)+(BK107))+(BK108)</f>
        <v>0</v>
      </c>
      <c r="BL109" s="513">
        <f t="shared" si="176"/>
        <v>600</v>
      </c>
      <c r="BM109" s="514" t="str">
        <f t="shared" si="177"/>
        <v/>
      </c>
      <c r="BN109" s="513">
        <f>((BN106)+(BN107))+(BN108)</f>
        <v>0</v>
      </c>
      <c r="BO109" s="513">
        <f>((BO106)+(BO107))+(BO108)</f>
        <v>0</v>
      </c>
      <c r="BP109" s="513">
        <f t="shared" si="178"/>
        <v>0</v>
      </c>
      <c r="BQ109" s="514" t="str">
        <f t="shared" si="179"/>
        <v/>
      </c>
      <c r="BR109" s="513">
        <f t="shared" si="180"/>
        <v>8240.93</v>
      </c>
      <c r="BS109" s="513">
        <f t="shared" si="180"/>
        <v>5177.7</v>
      </c>
      <c r="BT109" s="513">
        <f t="shared" si="181"/>
        <v>3063.2300000000005</v>
      </c>
      <c r="BU109" s="514">
        <f t="shared" si="182"/>
        <v>1.5916198311991812</v>
      </c>
      <c r="BV109" s="513">
        <f>((BV106)+(BV107))+(BV108)</f>
        <v>4863.4399999999996</v>
      </c>
      <c r="BW109" s="513">
        <f>((BW106)+(BW107))+(BW108)</f>
        <v>4709.03</v>
      </c>
      <c r="BX109" s="513">
        <f t="shared" si="183"/>
        <v>154.40999999999985</v>
      </c>
      <c r="BY109" s="514">
        <f t="shared" si="184"/>
        <v>1.0327901924600182</v>
      </c>
      <c r="BZ109" s="513">
        <f>((BZ106)+(BZ107))+(BZ108)</f>
        <v>820.68000000000006</v>
      </c>
      <c r="CA109" s="513">
        <f>((CA106)+(CA107))+(CA108)</f>
        <v>0</v>
      </c>
      <c r="CB109" s="513">
        <f t="shared" si="185"/>
        <v>820.68000000000006</v>
      </c>
      <c r="CC109" s="514" t="str">
        <f t="shared" si="186"/>
        <v/>
      </c>
      <c r="CD109" s="513">
        <f>((CD106)+(CD107))+(CD108)</f>
        <v>382.76</v>
      </c>
      <c r="CE109" s="513">
        <f>((CE106)+(CE107))+(CE108)</f>
        <v>0</v>
      </c>
      <c r="CF109" s="513">
        <f t="shared" si="187"/>
        <v>382.76</v>
      </c>
      <c r="CG109" s="514" t="str">
        <f t="shared" si="188"/>
        <v/>
      </c>
      <c r="CH109" s="513">
        <f>((CH106)+(CH107))+(CH108)</f>
        <v>0</v>
      </c>
      <c r="CI109" s="513">
        <f>((CI106)+(CI107))+(CI108)</f>
        <v>0</v>
      </c>
      <c r="CJ109" s="513">
        <f t="shared" si="189"/>
        <v>0</v>
      </c>
      <c r="CK109" s="514" t="str">
        <f t="shared" si="190"/>
        <v/>
      </c>
      <c r="CL109" s="513">
        <f t="shared" si="191"/>
        <v>382.76</v>
      </c>
      <c r="CM109" s="513">
        <f t="shared" si="191"/>
        <v>0</v>
      </c>
      <c r="CN109" s="513">
        <f t="shared" si="192"/>
        <v>382.76</v>
      </c>
      <c r="CO109" s="514" t="str">
        <f t="shared" si="193"/>
        <v/>
      </c>
      <c r="CP109" s="513">
        <f>((CP106)+(CP107))+(CP108)</f>
        <v>298.68</v>
      </c>
      <c r="CQ109" s="513">
        <f>((CQ106)+(CQ107))+(CQ108)</f>
        <v>0</v>
      </c>
      <c r="CR109" s="513">
        <f t="shared" si="194"/>
        <v>298.68</v>
      </c>
      <c r="CS109" s="514" t="str">
        <f t="shared" si="195"/>
        <v/>
      </c>
      <c r="CT109" s="513">
        <f>((CT106)+(CT107))+(CT108)</f>
        <v>187.82</v>
      </c>
      <c r="CU109" s="513">
        <f>((CU106)+(CU107))+(CU108)</f>
        <v>0</v>
      </c>
      <c r="CV109" s="513">
        <f t="shared" si="196"/>
        <v>187.82</v>
      </c>
      <c r="CW109" s="514" t="str">
        <f t="shared" si="197"/>
        <v/>
      </c>
      <c r="CX109" s="513">
        <f t="shared" si="198"/>
        <v>486.5</v>
      </c>
      <c r="CY109" s="513">
        <f t="shared" si="198"/>
        <v>0</v>
      </c>
      <c r="CZ109" s="513">
        <f t="shared" si="199"/>
        <v>486.5</v>
      </c>
      <c r="DA109" s="514" t="str">
        <f t="shared" si="200"/>
        <v/>
      </c>
      <c r="DB109" s="513">
        <f>((DB106)+(DB107))+(DB108)</f>
        <v>0</v>
      </c>
      <c r="DC109" s="513">
        <f>((DC106)+(DC107))+(DC108)</f>
        <v>0</v>
      </c>
      <c r="DD109" s="513">
        <f t="shared" si="201"/>
        <v>0</v>
      </c>
      <c r="DE109" s="514" t="str">
        <f t="shared" si="202"/>
        <v/>
      </c>
      <c r="DF109" s="513">
        <f>((DF106)+(DF107))+(DF108)</f>
        <v>0</v>
      </c>
      <c r="DG109" s="513">
        <f>((DG106)+(DG107))+(DG108)</f>
        <v>0</v>
      </c>
      <c r="DH109" s="513">
        <f t="shared" si="203"/>
        <v>0</v>
      </c>
      <c r="DI109" s="514" t="str">
        <f t="shared" si="204"/>
        <v/>
      </c>
      <c r="DJ109" s="513">
        <f t="shared" si="205"/>
        <v>0</v>
      </c>
      <c r="DK109" s="513">
        <f t="shared" si="205"/>
        <v>0</v>
      </c>
      <c r="DL109" s="513">
        <f t="shared" si="206"/>
        <v>0</v>
      </c>
      <c r="DM109" s="514" t="str">
        <f t="shared" si="207"/>
        <v/>
      </c>
      <c r="DN109" s="513">
        <f>((DN106)+(DN107))+(DN108)</f>
        <v>0</v>
      </c>
      <c r="DO109" s="513">
        <f>((DO106)+(DO107))+(DO108)</f>
        <v>0</v>
      </c>
      <c r="DP109" s="513">
        <f t="shared" si="208"/>
        <v>0</v>
      </c>
      <c r="DQ109" s="514" t="str">
        <f t="shared" si="209"/>
        <v/>
      </c>
      <c r="DR109" s="513">
        <f t="shared" si="210"/>
        <v>56360.830000000009</v>
      </c>
      <c r="DS109" s="513">
        <f t="shared" si="211"/>
        <v>50575.719999999994</v>
      </c>
      <c r="DT109" s="513">
        <f t="shared" si="212"/>
        <v>5785.1100000000151</v>
      </c>
      <c r="DU109" s="514">
        <f t="shared" si="213"/>
        <v>1.1143851239290319</v>
      </c>
    </row>
    <row r="110" spans="1:125" x14ac:dyDescent="0.25">
      <c r="A110" s="2" t="s">
        <v>132</v>
      </c>
      <c r="B110" s="3"/>
      <c r="C110" s="3"/>
      <c r="D110" s="511">
        <f t="shared" si="145"/>
        <v>0</v>
      </c>
      <c r="E110" s="512" t="str">
        <f t="shared" si="146"/>
        <v/>
      </c>
      <c r="F110" s="3"/>
      <c r="G110" s="3"/>
      <c r="H110" s="511">
        <f t="shared" si="147"/>
        <v>0</v>
      </c>
      <c r="I110" s="512" t="str">
        <f t="shared" si="148"/>
        <v/>
      </c>
      <c r="J110" s="511">
        <f>795</f>
        <v>795</v>
      </c>
      <c r="K110" s="3"/>
      <c r="L110" s="511">
        <f t="shared" si="149"/>
        <v>795</v>
      </c>
      <c r="M110" s="512" t="str">
        <f t="shared" si="150"/>
        <v/>
      </c>
      <c r="N110" s="3"/>
      <c r="O110" s="3"/>
      <c r="P110" s="511">
        <f t="shared" si="151"/>
        <v>0</v>
      </c>
      <c r="Q110" s="512" t="str">
        <f t="shared" si="152"/>
        <v/>
      </c>
      <c r="R110" s="3"/>
      <c r="S110" s="3"/>
      <c r="T110" s="511">
        <f t="shared" si="153"/>
        <v>0</v>
      </c>
      <c r="U110" s="512" t="str">
        <f t="shared" si="154"/>
        <v/>
      </c>
      <c r="V110" s="3"/>
      <c r="W110" s="3"/>
      <c r="X110" s="511">
        <f t="shared" si="155"/>
        <v>0</v>
      </c>
      <c r="Y110" s="512" t="str">
        <f t="shared" si="156"/>
        <v/>
      </c>
      <c r="Z110" s="3"/>
      <c r="AA110" s="3"/>
      <c r="AB110" s="511">
        <f t="shared" si="157"/>
        <v>0</v>
      </c>
      <c r="AC110" s="512" t="str">
        <f t="shared" si="158"/>
        <v/>
      </c>
      <c r="AD110" s="3"/>
      <c r="AE110" s="3"/>
      <c r="AF110" s="511">
        <f t="shared" si="159"/>
        <v>0</v>
      </c>
      <c r="AG110" s="512" t="str">
        <f t="shared" si="160"/>
        <v/>
      </c>
      <c r="AH110" s="3"/>
      <c r="AI110" s="3"/>
      <c r="AJ110" s="511">
        <f t="shared" si="161"/>
        <v>0</v>
      </c>
      <c r="AK110" s="512" t="str">
        <f t="shared" si="162"/>
        <v/>
      </c>
      <c r="AL110" s="3"/>
      <c r="AM110" s="3"/>
      <c r="AN110" s="511">
        <f t="shared" si="163"/>
        <v>0</v>
      </c>
      <c r="AO110" s="512" t="str">
        <f t="shared" si="164"/>
        <v/>
      </c>
      <c r="AP110" s="3"/>
      <c r="AQ110" s="3"/>
      <c r="AR110" s="511">
        <f t="shared" si="165"/>
        <v>0</v>
      </c>
      <c r="AS110" s="512" t="str">
        <f t="shared" si="166"/>
        <v/>
      </c>
      <c r="AT110" s="3"/>
      <c r="AU110" s="3"/>
      <c r="AV110" s="511">
        <f t="shared" si="167"/>
        <v>0</v>
      </c>
      <c r="AW110" s="512" t="str">
        <f t="shared" si="168"/>
        <v/>
      </c>
      <c r="AX110" s="511">
        <f t="shared" si="169"/>
        <v>0</v>
      </c>
      <c r="AY110" s="511">
        <f t="shared" si="169"/>
        <v>0</v>
      </c>
      <c r="AZ110" s="511">
        <f t="shared" si="170"/>
        <v>0</v>
      </c>
      <c r="BA110" s="512" t="str">
        <f t="shared" si="171"/>
        <v/>
      </c>
      <c r="BB110" s="3"/>
      <c r="BC110" s="3"/>
      <c r="BD110" s="511">
        <f t="shared" si="172"/>
        <v>0</v>
      </c>
      <c r="BE110" s="512" t="str">
        <f t="shared" si="173"/>
        <v/>
      </c>
      <c r="BF110" s="3"/>
      <c r="BG110" s="3"/>
      <c r="BH110" s="511">
        <f t="shared" si="174"/>
        <v>0</v>
      </c>
      <c r="BI110" s="512" t="str">
        <f t="shared" si="175"/>
        <v/>
      </c>
      <c r="BJ110" s="3"/>
      <c r="BK110" s="3"/>
      <c r="BL110" s="511">
        <f t="shared" si="176"/>
        <v>0</v>
      </c>
      <c r="BM110" s="512" t="str">
        <f t="shared" si="177"/>
        <v/>
      </c>
      <c r="BN110" s="3"/>
      <c r="BO110" s="3"/>
      <c r="BP110" s="511">
        <f t="shared" si="178"/>
        <v>0</v>
      </c>
      <c r="BQ110" s="512" t="str">
        <f t="shared" si="179"/>
        <v/>
      </c>
      <c r="BR110" s="511">
        <f t="shared" si="180"/>
        <v>0</v>
      </c>
      <c r="BS110" s="511">
        <f t="shared" si="180"/>
        <v>0</v>
      </c>
      <c r="BT110" s="511">
        <f t="shared" si="181"/>
        <v>0</v>
      </c>
      <c r="BU110" s="512" t="str">
        <f t="shared" si="182"/>
        <v/>
      </c>
      <c r="BV110" s="3"/>
      <c r="BW110" s="3"/>
      <c r="BX110" s="511">
        <f t="shared" si="183"/>
        <v>0</v>
      </c>
      <c r="BY110" s="512" t="str">
        <f t="shared" si="184"/>
        <v/>
      </c>
      <c r="BZ110" s="3"/>
      <c r="CA110" s="3"/>
      <c r="CB110" s="511">
        <f t="shared" si="185"/>
        <v>0</v>
      </c>
      <c r="CC110" s="512" t="str">
        <f t="shared" si="186"/>
        <v/>
      </c>
      <c r="CD110" s="3"/>
      <c r="CE110" s="3"/>
      <c r="CF110" s="511">
        <f t="shared" si="187"/>
        <v>0</v>
      </c>
      <c r="CG110" s="512" t="str">
        <f t="shared" si="188"/>
        <v/>
      </c>
      <c r="CH110" s="3"/>
      <c r="CI110" s="3"/>
      <c r="CJ110" s="511">
        <f t="shared" si="189"/>
        <v>0</v>
      </c>
      <c r="CK110" s="512" t="str">
        <f t="shared" si="190"/>
        <v/>
      </c>
      <c r="CL110" s="511">
        <f t="shared" si="191"/>
        <v>0</v>
      </c>
      <c r="CM110" s="511">
        <f t="shared" si="191"/>
        <v>0</v>
      </c>
      <c r="CN110" s="511">
        <f t="shared" si="192"/>
        <v>0</v>
      </c>
      <c r="CO110" s="512" t="str">
        <f t="shared" si="193"/>
        <v/>
      </c>
      <c r="CP110" s="3"/>
      <c r="CQ110" s="3"/>
      <c r="CR110" s="511">
        <f t="shared" si="194"/>
        <v>0</v>
      </c>
      <c r="CS110" s="512" t="str">
        <f t="shared" si="195"/>
        <v/>
      </c>
      <c r="CT110" s="3"/>
      <c r="CU110" s="3"/>
      <c r="CV110" s="511">
        <f t="shared" si="196"/>
        <v>0</v>
      </c>
      <c r="CW110" s="512" t="str">
        <f t="shared" si="197"/>
        <v/>
      </c>
      <c r="CX110" s="511">
        <f t="shared" si="198"/>
        <v>0</v>
      </c>
      <c r="CY110" s="511">
        <f t="shared" si="198"/>
        <v>0</v>
      </c>
      <c r="CZ110" s="511">
        <f t="shared" si="199"/>
        <v>0</v>
      </c>
      <c r="DA110" s="512" t="str">
        <f t="shared" si="200"/>
        <v/>
      </c>
      <c r="DB110" s="3"/>
      <c r="DC110" s="3"/>
      <c r="DD110" s="511">
        <f t="shared" si="201"/>
        <v>0</v>
      </c>
      <c r="DE110" s="512" t="str">
        <f t="shared" si="202"/>
        <v/>
      </c>
      <c r="DF110" s="3"/>
      <c r="DG110" s="3"/>
      <c r="DH110" s="511">
        <f t="shared" si="203"/>
        <v>0</v>
      </c>
      <c r="DI110" s="512" t="str">
        <f t="shared" si="204"/>
        <v/>
      </c>
      <c r="DJ110" s="511">
        <f t="shared" si="205"/>
        <v>0</v>
      </c>
      <c r="DK110" s="511">
        <f t="shared" si="205"/>
        <v>0</v>
      </c>
      <c r="DL110" s="511">
        <f t="shared" si="206"/>
        <v>0</v>
      </c>
      <c r="DM110" s="512" t="str">
        <f t="shared" si="207"/>
        <v/>
      </c>
      <c r="DN110" s="3"/>
      <c r="DO110" s="3"/>
      <c r="DP110" s="511">
        <f t="shared" si="208"/>
        <v>0</v>
      </c>
      <c r="DQ110" s="512" t="str">
        <f t="shared" si="209"/>
        <v/>
      </c>
      <c r="DR110" s="511">
        <f t="shared" si="210"/>
        <v>795</v>
      </c>
      <c r="DS110" s="511">
        <f t="shared" si="211"/>
        <v>0</v>
      </c>
      <c r="DT110" s="511">
        <f t="shared" si="212"/>
        <v>795</v>
      </c>
      <c r="DU110" s="512" t="str">
        <f t="shared" si="213"/>
        <v/>
      </c>
    </row>
    <row r="111" spans="1:125" x14ac:dyDescent="0.25">
      <c r="A111" s="2" t="s">
        <v>116</v>
      </c>
      <c r="B111" s="513">
        <f>(((((((((((((B39)+(B45))+(B51))+(B52))+(B68))+(B76))+(B82))+(B88))+(B95))+(B103))+(B104))+(B105))+(B109))+(B110)</f>
        <v>55616.21</v>
      </c>
      <c r="C111" s="513">
        <f>(((((((((((((C39)+(C45))+(C51))+(C52))+(C68))+(C76))+(C82))+(C88))+(C95))+(C103))+(C104))+(C105))+(C109))+(C110)</f>
        <v>130297.47</v>
      </c>
      <c r="D111" s="513">
        <f t="shared" si="145"/>
        <v>-74681.260000000009</v>
      </c>
      <c r="E111" s="514">
        <f t="shared" si="146"/>
        <v>0.42684029091278591</v>
      </c>
      <c r="F111" s="513">
        <f>(((((((((((((F39)+(F45))+(F51))+(F52))+(F68))+(F76))+(F82))+(F88))+(F95))+(F103))+(F104))+(F105))+(F109))+(F110)</f>
        <v>257004.16999999995</v>
      </c>
      <c r="G111" s="513">
        <f>(((((((((((((G39)+(G45))+(G51))+(G52))+(G68))+(G76))+(G82))+(G88))+(G95))+(G103))+(G104))+(G105))+(G109))+(G110)</f>
        <v>251361</v>
      </c>
      <c r="H111" s="513">
        <f t="shared" si="147"/>
        <v>5643.1699999999546</v>
      </c>
      <c r="I111" s="514">
        <f t="shared" si="148"/>
        <v>1.0224504596974071</v>
      </c>
      <c r="J111" s="513">
        <f>(((((((((((((J39)+(J45))+(J51))+(J52))+(J68))+(J76))+(J82))+(J88))+(J95))+(J103))+(J104))+(J105))+(J109))+(J110)</f>
        <v>119551.51000000001</v>
      </c>
      <c r="K111" s="513">
        <f>(((((((((((((K39)+(K45))+(K51))+(K52))+(K68))+(K76))+(K82))+(K88))+(K95))+(K103))+(K104))+(K105))+(K109))+(K110)</f>
        <v>125750.00000000001</v>
      </c>
      <c r="L111" s="513">
        <f t="shared" si="149"/>
        <v>-6198.4900000000052</v>
      </c>
      <c r="M111" s="514">
        <f t="shared" si="150"/>
        <v>0.95070783300198802</v>
      </c>
      <c r="N111" s="513">
        <f>(((((((((((((N39)+(N45))+(N51))+(N52))+(N68))+(N76))+(N82))+(N88))+(N95))+(N103))+(N104))+(N105))+(N109))+(N110)</f>
        <v>114205.56</v>
      </c>
      <c r="O111" s="513">
        <f>(((((((((((((O39)+(O45))+(O51))+(O52))+(O68))+(O76))+(O82))+(O88))+(O95))+(O103))+(O104))+(O105))+(O109))+(O110)</f>
        <v>0</v>
      </c>
      <c r="P111" s="513">
        <f t="shared" si="151"/>
        <v>114205.56</v>
      </c>
      <c r="Q111" s="514" t="str">
        <f t="shared" si="152"/>
        <v/>
      </c>
      <c r="R111" s="513">
        <f>(((((((((((((R39)+(R45))+(R51))+(R52))+(R68))+(R76))+(R82))+(R88))+(R95))+(R103))+(R104))+(R105))+(R109))+(R110)</f>
        <v>48138.3</v>
      </c>
      <c r="S111" s="513">
        <f>(((((((((((((S39)+(S45))+(S51))+(S52))+(S68))+(S76))+(S82))+(S88))+(S95))+(S103))+(S104))+(S105))+(S109))+(S110)</f>
        <v>0</v>
      </c>
      <c r="T111" s="513">
        <f t="shared" si="153"/>
        <v>48138.3</v>
      </c>
      <c r="U111" s="514" t="str">
        <f t="shared" si="154"/>
        <v/>
      </c>
      <c r="V111" s="513">
        <f>(((((((((((((V39)+(V45))+(V51))+(V52))+(V68))+(V76))+(V82))+(V88))+(V95))+(V103))+(V104))+(V105))+(V109))+(V110)</f>
        <v>100376.58</v>
      </c>
      <c r="W111" s="513">
        <f>(((((((((((((W39)+(W45))+(W51))+(W52))+(W68))+(W76))+(W82))+(W88))+(W95))+(W103))+(W104))+(W105))+(W109))+(W110)</f>
        <v>200000</v>
      </c>
      <c r="X111" s="513">
        <f t="shared" si="155"/>
        <v>-99623.42</v>
      </c>
      <c r="Y111" s="514">
        <f t="shared" si="156"/>
        <v>0.50188290000000002</v>
      </c>
      <c r="Z111" s="513">
        <f>(((((((((((((Z39)+(Z45))+(Z51))+(Z52))+(Z68))+(Z76))+(Z82))+(Z88))+(Z95))+(Z103))+(Z104))+(Z105))+(Z109))+(Z110)</f>
        <v>1842.23</v>
      </c>
      <c r="AA111" s="513">
        <f>(((((((((((((AA39)+(AA45))+(AA51))+(AA52))+(AA68))+(AA76))+(AA82))+(AA88))+(AA95))+(AA103))+(AA104))+(AA105))+(AA109))+(AA110)</f>
        <v>0</v>
      </c>
      <c r="AB111" s="513">
        <f t="shared" si="157"/>
        <v>1842.23</v>
      </c>
      <c r="AC111" s="514" t="str">
        <f t="shared" si="158"/>
        <v/>
      </c>
      <c r="AD111" s="513">
        <f>(((((((((((((AD39)+(AD45))+(AD51))+(AD52))+(AD68))+(AD76))+(AD82))+(AD88))+(AD95))+(AD103))+(AD104))+(AD105))+(AD109))+(AD110)</f>
        <v>3025.29</v>
      </c>
      <c r="AE111" s="513">
        <f>(((((((((((((AE39)+(AE45))+(AE51))+(AE52))+(AE68))+(AE76))+(AE82))+(AE88))+(AE95))+(AE103))+(AE104))+(AE105))+(AE109))+(AE110)</f>
        <v>0</v>
      </c>
      <c r="AF111" s="513">
        <f t="shared" si="159"/>
        <v>3025.29</v>
      </c>
      <c r="AG111" s="514" t="str">
        <f t="shared" si="160"/>
        <v/>
      </c>
      <c r="AH111" s="513">
        <f>(((((((((((((AH39)+(AH45))+(AH51))+(AH52))+(AH68))+(AH76))+(AH82))+(AH88))+(AH95))+(AH103))+(AH104))+(AH105))+(AH109))+(AH110)</f>
        <v>27091.79</v>
      </c>
      <c r="AI111" s="513">
        <f>(((((((((((((AI39)+(AI45))+(AI51))+(AI52))+(AI68))+(AI76))+(AI82))+(AI88))+(AI95))+(AI103))+(AI104))+(AI105))+(AI109))+(AI110)</f>
        <v>0</v>
      </c>
      <c r="AJ111" s="513">
        <f t="shared" si="161"/>
        <v>27091.79</v>
      </c>
      <c r="AK111" s="514" t="str">
        <f t="shared" si="162"/>
        <v/>
      </c>
      <c r="AL111" s="513">
        <f>(((((((((((((AL39)+(AL45))+(AL51))+(AL52))+(AL68))+(AL76))+(AL82))+(AL88))+(AL95))+(AL103))+(AL104))+(AL105))+(AL109))+(AL110)</f>
        <v>33352.33</v>
      </c>
      <c r="AM111" s="513">
        <f>(((((((((((((AM39)+(AM45))+(AM51))+(AM52))+(AM68))+(AM76))+(AM82))+(AM88))+(AM95))+(AM103))+(AM104))+(AM105))+(AM109))+(AM110)</f>
        <v>0</v>
      </c>
      <c r="AN111" s="513">
        <f t="shared" si="163"/>
        <v>33352.33</v>
      </c>
      <c r="AO111" s="514" t="str">
        <f t="shared" si="164"/>
        <v/>
      </c>
      <c r="AP111" s="513">
        <f>(((((((((((((AP39)+(AP45))+(AP51))+(AP52))+(AP68))+(AP76))+(AP82))+(AP88))+(AP95))+(AP103))+(AP104))+(AP105))+(AP109))+(AP110)</f>
        <v>11490.22</v>
      </c>
      <c r="AQ111" s="513">
        <f>(((((((((((((AQ39)+(AQ45))+(AQ51))+(AQ52))+(AQ68))+(AQ76))+(AQ82))+(AQ88))+(AQ95))+(AQ103))+(AQ104))+(AQ105))+(AQ109))+(AQ110)</f>
        <v>0</v>
      </c>
      <c r="AR111" s="513">
        <f t="shared" si="165"/>
        <v>11490.22</v>
      </c>
      <c r="AS111" s="514" t="str">
        <f t="shared" si="166"/>
        <v/>
      </c>
      <c r="AT111" s="513">
        <f>(((((((((((((AT39)+(AT45))+(AT51))+(AT52))+(AT68))+(AT76))+(AT82))+(AT88))+(AT95))+(AT103))+(AT104))+(AT105))+(AT109))+(AT110)</f>
        <v>18554.64</v>
      </c>
      <c r="AU111" s="513">
        <f>(((((((((((((AU39)+(AU45))+(AU51))+(AU52))+(AU68))+(AU76))+(AU82))+(AU88))+(AU95))+(AU103))+(AU104))+(AU105))+(AU109))+(AU110)</f>
        <v>0</v>
      </c>
      <c r="AV111" s="513">
        <f t="shared" si="167"/>
        <v>18554.64</v>
      </c>
      <c r="AW111" s="514" t="str">
        <f t="shared" si="168"/>
        <v/>
      </c>
      <c r="AX111" s="513">
        <f t="shared" si="169"/>
        <v>195733.07999999996</v>
      </c>
      <c r="AY111" s="513">
        <f t="shared" si="169"/>
        <v>200000</v>
      </c>
      <c r="AZ111" s="513">
        <f t="shared" si="170"/>
        <v>-4266.9200000000419</v>
      </c>
      <c r="BA111" s="514">
        <f t="shared" si="171"/>
        <v>0.9786653999999998</v>
      </c>
      <c r="BB111" s="513">
        <f>(((((((((((((BB39)+(BB45))+(BB51))+(BB52))+(BB68))+(BB76))+(BB82))+(BB88))+(BB95))+(BB103))+(BB104))+(BB105))+(BB109))+(BB110)</f>
        <v>56655.95</v>
      </c>
      <c r="BC111" s="513">
        <f>(((((((((((((BC39)+(BC45))+(BC51))+(BC52))+(BC68))+(BC76))+(BC82))+(BC88))+(BC95))+(BC103))+(BC104))+(BC105))+(BC109))+(BC110)</f>
        <v>125000</v>
      </c>
      <c r="BD111" s="513">
        <f t="shared" si="172"/>
        <v>-68344.05</v>
      </c>
      <c r="BE111" s="514">
        <f t="shared" si="173"/>
        <v>0.45324759999999997</v>
      </c>
      <c r="BF111" s="513">
        <f>(((((((((((((BF39)+(BF45))+(BF51))+(BF52))+(BF68))+(BF76))+(BF82))+(BF88))+(BF95))+(BF103))+(BF104))+(BF105))+(BF109))+(BF110)</f>
        <v>4230.38</v>
      </c>
      <c r="BG111" s="513">
        <f>(((((((((((((BG39)+(BG45))+(BG51))+(BG52))+(BG68))+(BG76))+(BG82))+(BG88))+(BG95))+(BG103))+(BG104))+(BG105))+(BG109))+(BG110)</f>
        <v>0</v>
      </c>
      <c r="BH111" s="513">
        <f t="shared" si="174"/>
        <v>4230.38</v>
      </c>
      <c r="BI111" s="514" t="str">
        <f t="shared" si="175"/>
        <v/>
      </c>
      <c r="BJ111" s="513">
        <f>(((((((((((((BJ39)+(BJ45))+(BJ51))+(BJ52))+(BJ68))+(BJ76))+(BJ82))+(BJ88))+(BJ95))+(BJ103))+(BJ104))+(BJ105))+(BJ109))+(BJ110)</f>
        <v>28720.07</v>
      </c>
      <c r="BK111" s="513">
        <f>(((((((((((((BK39)+(BK45))+(BK51))+(BK52))+(BK68))+(BK76))+(BK82))+(BK88))+(BK95))+(BK103))+(BK104))+(BK105))+(BK109))+(BK110)</f>
        <v>0</v>
      </c>
      <c r="BL111" s="513">
        <f t="shared" si="176"/>
        <v>28720.07</v>
      </c>
      <c r="BM111" s="514" t="str">
        <f t="shared" si="177"/>
        <v/>
      </c>
      <c r="BN111" s="513">
        <f>(((((((((((((BN39)+(BN45))+(BN51))+(BN52))+(BN68))+(BN76))+(BN82))+(BN88))+(BN95))+(BN103))+(BN104))+(BN105))+(BN109))+(BN110)</f>
        <v>6790.14</v>
      </c>
      <c r="BO111" s="513">
        <f>(((((((((((((BO39)+(BO45))+(BO51))+(BO52))+(BO68))+(BO76))+(BO82))+(BO88))+(BO95))+(BO103))+(BO104))+(BO105))+(BO109))+(BO110)</f>
        <v>0</v>
      </c>
      <c r="BP111" s="513">
        <f t="shared" si="178"/>
        <v>6790.14</v>
      </c>
      <c r="BQ111" s="514" t="str">
        <f t="shared" si="179"/>
        <v/>
      </c>
      <c r="BR111" s="513">
        <f t="shared" si="180"/>
        <v>96396.54</v>
      </c>
      <c r="BS111" s="513">
        <f t="shared" si="180"/>
        <v>125000</v>
      </c>
      <c r="BT111" s="513">
        <f t="shared" si="181"/>
        <v>-28603.460000000006</v>
      </c>
      <c r="BU111" s="514">
        <f t="shared" si="182"/>
        <v>0.77117231999999991</v>
      </c>
      <c r="BV111" s="513">
        <f>(((((((((((((BV39)+(BV45))+(BV51))+(BV52))+(BV68))+(BV76))+(BV82))+(BV88))+(BV95))+(BV103))+(BV104))+(BV105))+(BV109))+(BV110)</f>
        <v>67291.819999999992</v>
      </c>
      <c r="BW111" s="513">
        <f>(((((((((((((BW39)+(BW45))+(BW51))+(BW52))+(BW68))+(BW76))+(BW82))+(BW88))+(BW95))+(BW103))+(BW104))+(BW105))+(BW109))+(BW110)</f>
        <v>70088.63</v>
      </c>
      <c r="BX111" s="513">
        <f t="shared" si="183"/>
        <v>-2796.8100000000122</v>
      </c>
      <c r="BY111" s="514">
        <f t="shared" si="184"/>
        <v>0.96009609547226116</v>
      </c>
      <c r="BZ111" s="513">
        <f>(((((((((((((BZ39)+(BZ45))+(BZ51))+(BZ52))+(BZ68))+(BZ76))+(BZ82))+(BZ88))+(BZ95))+(BZ103))+(BZ104))+(BZ105))+(BZ109))+(BZ110)</f>
        <v>76661.609999999971</v>
      </c>
      <c r="CA111" s="513">
        <f>(((((((((((((CA39)+(CA45))+(CA51))+(CA52))+(CA68))+(CA76))+(CA82))+(CA88))+(CA95))+(CA103))+(CA104))+(CA105))+(CA109))+(CA110)</f>
        <v>69300</v>
      </c>
      <c r="CB111" s="513">
        <f t="shared" si="185"/>
        <v>7361.6099999999715</v>
      </c>
      <c r="CC111" s="514">
        <f t="shared" si="186"/>
        <v>1.1062281385281381</v>
      </c>
      <c r="CD111" s="513">
        <f>(((((((((((((CD39)+(CD45))+(CD51))+(CD52))+(CD68))+(CD76))+(CD82))+(CD88))+(CD95))+(CD103))+(CD104))+(CD105))+(CD109))+(CD110)</f>
        <v>14775.98</v>
      </c>
      <c r="CE111" s="513">
        <f>(((((((((((((CE39)+(CE45))+(CE51))+(CE52))+(CE68))+(CE76))+(CE82))+(CE88))+(CE95))+(CE103))+(CE104))+(CE105))+(CE109))+(CE110)</f>
        <v>0</v>
      </c>
      <c r="CF111" s="513">
        <f t="shared" si="187"/>
        <v>14775.98</v>
      </c>
      <c r="CG111" s="514" t="str">
        <f t="shared" si="188"/>
        <v/>
      </c>
      <c r="CH111" s="513">
        <f>(((((((((((((CH39)+(CH45))+(CH51))+(CH52))+(CH68))+(CH76))+(CH82))+(CH88))+(CH95))+(CH103))+(CH104))+(CH105))+(CH109))+(CH110)</f>
        <v>2632.5</v>
      </c>
      <c r="CI111" s="513">
        <f>(((((((((((((CI39)+(CI45))+(CI51))+(CI52))+(CI68))+(CI76))+(CI82))+(CI88))+(CI95))+(CI103))+(CI104))+(CI105))+(CI109))+(CI110)</f>
        <v>0</v>
      </c>
      <c r="CJ111" s="513">
        <f t="shared" si="189"/>
        <v>2632.5</v>
      </c>
      <c r="CK111" s="514" t="str">
        <f t="shared" si="190"/>
        <v/>
      </c>
      <c r="CL111" s="513">
        <f t="shared" si="191"/>
        <v>17408.48</v>
      </c>
      <c r="CM111" s="513">
        <f t="shared" si="191"/>
        <v>0</v>
      </c>
      <c r="CN111" s="513">
        <f t="shared" si="192"/>
        <v>17408.48</v>
      </c>
      <c r="CO111" s="514" t="str">
        <f t="shared" si="193"/>
        <v/>
      </c>
      <c r="CP111" s="513">
        <f>(((((((((((((CP39)+(CP45))+(CP51))+(CP52))+(CP68))+(CP76))+(CP82))+(CP88))+(CP95))+(CP103))+(CP104))+(CP105))+(CP109))+(CP110)</f>
        <v>18231.43</v>
      </c>
      <c r="CQ111" s="513">
        <f>(((((((((((((CQ39)+(CQ45))+(CQ51))+(CQ52))+(CQ68))+(CQ76))+(CQ82))+(CQ88))+(CQ95))+(CQ103))+(CQ104))+(CQ105))+(CQ109))+(CQ110)</f>
        <v>0</v>
      </c>
      <c r="CR111" s="513">
        <f t="shared" si="194"/>
        <v>18231.43</v>
      </c>
      <c r="CS111" s="514" t="str">
        <f t="shared" si="195"/>
        <v/>
      </c>
      <c r="CT111" s="513">
        <f>(((((((((((((CT39)+(CT45))+(CT51))+(CT52))+(CT68))+(CT76))+(CT82))+(CT88))+(CT95))+(CT103))+(CT104))+(CT105))+(CT109))+(CT110)</f>
        <v>39115.520000000004</v>
      </c>
      <c r="CU111" s="513">
        <f>(((((((((((((CU39)+(CU45))+(CU51))+(CU52))+(CU68))+(CU76))+(CU82))+(CU88))+(CU95))+(CU103))+(CU104))+(CU105))+(CU109))+(CU110)</f>
        <v>40000</v>
      </c>
      <c r="CV111" s="513">
        <f t="shared" si="196"/>
        <v>-884.47999999999593</v>
      </c>
      <c r="CW111" s="514">
        <f t="shared" si="197"/>
        <v>0.97788800000000009</v>
      </c>
      <c r="CX111" s="513">
        <f t="shared" si="198"/>
        <v>57346.950000000004</v>
      </c>
      <c r="CY111" s="513">
        <f t="shared" si="198"/>
        <v>40000</v>
      </c>
      <c r="CZ111" s="513">
        <f t="shared" si="199"/>
        <v>17346.950000000004</v>
      </c>
      <c r="DA111" s="514">
        <f t="shared" si="200"/>
        <v>1.4336737500000001</v>
      </c>
      <c r="DB111" s="513">
        <f>(((((((((((((DB39)+(DB45))+(DB51))+(DB52))+(DB68))+(DB76))+(DB82))+(DB88))+(DB95))+(DB103))+(DB104))+(DB105))+(DB109))+(DB110)</f>
        <v>4720.1499999999996</v>
      </c>
      <c r="DC111" s="513">
        <f>(((((((((((((DC39)+(DC45))+(DC51))+(DC52))+(DC68))+(DC76))+(DC82))+(DC88))+(DC95))+(DC103))+(DC104))+(DC105))+(DC109))+(DC110)</f>
        <v>0</v>
      </c>
      <c r="DD111" s="513">
        <f t="shared" si="201"/>
        <v>4720.1499999999996</v>
      </c>
      <c r="DE111" s="514" t="str">
        <f t="shared" si="202"/>
        <v/>
      </c>
      <c r="DF111" s="513">
        <f>(((((((((((((DF39)+(DF45))+(DF51))+(DF52))+(DF68))+(DF76))+(DF82))+(DF88))+(DF95))+(DF103))+(DF104))+(DF105))+(DF109))+(DF110)</f>
        <v>20494.730000000003</v>
      </c>
      <c r="DG111" s="513">
        <f>(((((((((((((DG39)+(DG45))+(DG51))+(DG52))+(DG68))+(DG76))+(DG82))+(DG88))+(DG95))+(DG103))+(DG104))+(DG105))+(DG109))+(DG110)</f>
        <v>0</v>
      </c>
      <c r="DH111" s="513">
        <f t="shared" si="203"/>
        <v>20494.730000000003</v>
      </c>
      <c r="DI111" s="514" t="str">
        <f t="shared" si="204"/>
        <v/>
      </c>
      <c r="DJ111" s="513">
        <f t="shared" si="205"/>
        <v>25214.880000000005</v>
      </c>
      <c r="DK111" s="513">
        <f t="shared" si="205"/>
        <v>0</v>
      </c>
      <c r="DL111" s="513">
        <f t="shared" si="206"/>
        <v>25214.880000000005</v>
      </c>
      <c r="DM111" s="514" t="str">
        <f t="shared" si="207"/>
        <v/>
      </c>
      <c r="DN111" s="513">
        <f>(((((((((((((DN39)+(DN45))+(DN51))+(DN52))+(DN68))+(DN76))+(DN82))+(DN88))+(DN95))+(DN103))+(DN104))+(DN105))+(DN109))+(DN110)</f>
        <v>0</v>
      </c>
      <c r="DO111" s="513">
        <f>(((((((((((((DO39)+(DO45))+(DO51))+(DO52))+(DO68))+(DO76))+(DO82))+(DO88))+(DO95))+(DO103))+(DO104))+(DO105))+(DO109))+(DO110)</f>
        <v>0</v>
      </c>
      <c r="DP111" s="513">
        <f t="shared" si="208"/>
        <v>0</v>
      </c>
      <c r="DQ111" s="514" t="str">
        <f t="shared" si="209"/>
        <v/>
      </c>
      <c r="DR111" s="513">
        <f t="shared" si="210"/>
        <v>1130569.1099999999</v>
      </c>
      <c r="DS111" s="513">
        <f t="shared" si="211"/>
        <v>1011797.1</v>
      </c>
      <c r="DT111" s="513">
        <f t="shared" si="212"/>
        <v>118772.00999999989</v>
      </c>
      <c r="DU111" s="514">
        <f t="shared" si="213"/>
        <v>1.1173871816790144</v>
      </c>
    </row>
    <row r="112" spans="1:125" x14ac:dyDescent="0.25">
      <c r="A112" s="2" t="s">
        <v>117</v>
      </c>
      <c r="B112" s="513">
        <f>(B30)-(B111)</f>
        <v>27783.94999999999</v>
      </c>
      <c r="C112" s="513">
        <f>(C30)-(C111)</f>
        <v>12903.029999999999</v>
      </c>
      <c r="D112" s="513">
        <f t="shared" si="145"/>
        <v>14880.919999999991</v>
      </c>
      <c r="E112" s="514">
        <f t="shared" si="146"/>
        <v>2.1532888011575571</v>
      </c>
      <c r="F112" s="513">
        <f>(F30)-(F111)</f>
        <v>39674.830000000045</v>
      </c>
      <c r="G112" s="513">
        <f>(G30)-(G111)</f>
        <v>553</v>
      </c>
      <c r="H112" s="513">
        <f t="shared" si="147"/>
        <v>39121.830000000045</v>
      </c>
      <c r="I112" s="514">
        <f t="shared" si="148"/>
        <v>71.744719710669159</v>
      </c>
      <c r="J112" s="513">
        <f>(J30)-(J111)</f>
        <v>-7815.2500000000146</v>
      </c>
      <c r="K112" s="513">
        <f>(K30)-(K111)</f>
        <v>0</v>
      </c>
      <c r="L112" s="513">
        <f t="shared" si="149"/>
        <v>-7815.2500000000146</v>
      </c>
      <c r="M112" s="514" t="str">
        <f t="shared" si="150"/>
        <v/>
      </c>
      <c r="N112" s="513">
        <f>(N30)-(N111)</f>
        <v>-13294.800000000003</v>
      </c>
      <c r="O112" s="513">
        <f>(O30)-(O111)</f>
        <v>0</v>
      </c>
      <c r="P112" s="513">
        <f t="shared" si="151"/>
        <v>-13294.800000000003</v>
      </c>
      <c r="Q112" s="514" t="str">
        <f t="shared" si="152"/>
        <v/>
      </c>
      <c r="R112" s="513">
        <f>(R30)-(R111)</f>
        <v>-48138.3</v>
      </c>
      <c r="S112" s="513">
        <f>(S30)-(S111)</f>
        <v>0</v>
      </c>
      <c r="T112" s="513">
        <f t="shared" si="153"/>
        <v>-48138.3</v>
      </c>
      <c r="U112" s="514" t="str">
        <f t="shared" si="154"/>
        <v/>
      </c>
      <c r="V112" s="513">
        <f>(V30)-(V111)</f>
        <v>80373.42</v>
      </c>
      <c r="W112" s="513">
        <f>(W30)-(W111)</f>
        <v>0</v>
      </c>
      <c r="X112" s="513">
        <f t="shared" si="155"/>
        <v>80373.42</v>
      </c>
      <c r="Y112" s="514" t="str">
        <f t="shared" si="156"/>
        <v/>
      </c>
      <c r="Z112" s="513">
        <f>(Z30)-(Z111)</f>
        <v>-1842.23</v>
      </c>
      <c r="AA112" s="513">
        <f>(AA30)-(AA111)</f>
        <v>0</v>
      </c>
      <c r="AB112" s="513">
        <f t="shared" si="157"/>
        <v>-1842.23</v>
      </c>
      <c r="AC112" s="514" t="str">
        <f t="shared" si="158"/>
        <v/>
      </c>
      <c r="AD112" s="513">
        <f>(AD30)-(AD111)</f>
        <v>-3025.29</v>
      </c>
      <c r="AE112" s="513">
        <f>(AE30)-(AE111)</f>
        <v>0</v>
      </c>
      <c r="AF112" s="513">
        <f t="shared" si="159"/>
        <v>-3025.29</v>
      </c>
      <c r="AG112" s="514" t="str">
        <f t="shared" si="160"/>
        <v/>
      </c>
      <c r="AH112" s="513">
        <f>(AH30)-(AH111)</f>
        <v>-27091.79</v>
      </c>
      <c r="AI112" s="513">
        <f>(AI30)-(AI111)</f>
        <v>0</v>
      </c>
      <c r="AJ112" s="513">
        <f t="shared" si="161"/>
        <v>-27091.79</v>
      </c>
      <c r="AK112" s="514" t="str">
        <f t="shared" si="162"/>
        <v/>
      </c>
      <c r="AL112" s="513">
        <f>(AL30)-(AL111)</f>
        <v>-33352.33</v>
      </c>
      <c r="AM112" s="513">
        <f>(AM30)-(AM111)</f>
        <v>0</v>
      </c>
      <c r="AN112" s="513">
        <f t="shared" si="163"/>
        <v>-33352.33</v>
      </c>
      <c r="AO112" s="514" t="str">
        <f t="shared" si="164"/>
        <v/>
      </c>
      <c r="AP112" s="513">
        <f>(AP30)-(AP111)</f>
        <v>-11490.22</v>
      </c>
      <c r="AQ112" s="513">
        <f>(AQ30)-(AQ111)</f>
        <v>0</v>
      </c>
      <c r="AR112" s="513">
        <f t="shared" si="165"/>
        <v>-11490.22</v>
      </c>
      <c r="AS112" s="514" t="str">
        <f t="shared" si="166"/>
        <v/>
      </c>
      <c r="AT112" s="513">
        <f>(AT30)-(AT111)</f>
        <v>-18554.64</v>
      </c>
      <c r="AU112" s="513">
        <f>(AU30)-(AU111)</f>
        <v>0</v>
      </c>
      <c r="AV112" s="513">
        <f t="shared" si="167"/>
        <v>-18554.64</v>
      </c>
      <c r="AW112" s="514" t="str">
        <f t="shared" si="168"/>
        <v/>
      </c>
      <c r="AX112" s="513">
        <f t="shared" si="169"/>
        <v>-14983.079999999993</v>
      </c>
      <c r="AY112" s="513">
        <f t="shared" si="169"/>
        <v>0</v>
      </c>
      <c r="AZ112" s="513">
        <f t="shared" si="170"/>
        <v>-14983.079999999993</v>
      </c>
      <c r="BA112" s="514" t="str">
        <f t="shared" si="171"/>
        <v/>
      </c>
      <c r="BB112" s="513">
        <f>(BB30)-(BB111)</f>
        <v>51594.05</v>
      </c>
      <c r="BC112" s="513">
        <f>(BC30)-(BC111)</f>
        <v>0</v>
      </c>
      <c r="BD112" s="513">
        <f t="shared" si="172"/>
        <v>51594.05</v>
      </c>
      <c r="BE112" s="514" t="str">
        <f t="shared" si="173"/>
        <v/>
      </c>
      <c r="BF112" s="513">
        <f>(BF30)-(BF111)</f>
        <v>-4230.38</v>
      </c>
      <c r="BG112" s="513">
        <f>(BG30)-(BG111)</f>
        <v>0</v>
      </c>
      <c r="BH112" s="513">
        <f t="shared" si="174"/>
        <v>-4230.38</v>
      </c>
      <c r="BI112" s="514" t="str">
        <f t="shared" si="175"/>
        <v/>
      </c>
      <c r="BJ112" s="513">
        <f>(BJ30)-(BJ111)</f>
        <v>-28720.07</v>
      </c>
      <c r="BK112" s="513">
        <f>(BK30)-(BK111)</f>
        <v>0</v>
      </c>
      <c r="BL112" s="513">
        <f t="shared" si="176"/>
        <v>-28720.07</v>
      </c>
      <c r="BM112" s="514" t="str">
        <f t="shared" si="177"/>
        <v/>
      </c>
      <c r="BN112" s="513">
        <f>(BN30)-(BN111)</f>
        <v>-6790.14</v>
      </c>
      <c r="BO112" s="513">
        <f>(BO30)-(BO111)</f>
        <v>0</v>
      </c>
      <c r="BP112" s="513">
        <f t="shared" si="178"/>
        <v>-6790.14</v>
      </c>
      <c r="BQ112" s="514" t="str">
        <f t="shared" si="179"/>
        <v/>
      </c>
      <c r="BR112" s="513">
        <f t="shared" si="180"/>
        <v>11853.460000000006</v>
      </c>
      <c r="BS112" s="513">
        <f t="shared" si="180"/>
        <v>0</v>
      </c>
      <c r="BT112" s="513">
        <f t="shared" si="181"/>
        <v>11853.460000000006</v>
      </c>
      <c r="BU112" s="514" t="str">
        <f t="shared" si="182"/>
        <v/>
      </c>
      <c r="BV112" s="513">
        <f>(BV30)-(BV111)</f>
        <v>-3768.169999999991</v>
      </c>
      <c r="BW112" s="513">
        <f>(BW30)-(BW111)</f>
        <v>0</v>
      </c>
      <c r="BX112" s="513">
        <f t="shared" si="183"/>
        <v>-3768.169999999991</v>
      </c>
      <c r="BY112" s="514" t="str">
        <f t="shared" si="184"/>
        <v/>
      </c>
      <c r="BZ112" s="513">
        <f>(BZ30)-(BZ111)</f>
        <v>-7361.6099999999715</v>
      </c>
      <c r="CA112" s="513">
        <f>(CA30)-(CA111)</f>
        <v>0</v>
      </c>
      <c r="CB112" s="513">
        <f t="shared" si="185"/>
        <v>-7361.6099999999715</v>
      </c>
      <c r="CC112" s="514" t="str">
        <f t="shared" si="186"/>
        <v/>
      </c>
      <c r="CD112" s="513">
        <f>(CD30)-(CD111)</f>
        <v>-12825.32</v>
      </c>
      <c r="CE112" s="513">
        <f>(CE30)-(CE111)</f>
        <v>0</v>
      </c>
      <c r="CF112" s="513">
        <f t="shared" si="187"/>
        <v>-12825.32</v>
      </c>
      <c r="CG112" s="514" t="str">
        <f t="shared" si="188"/>
        <v/>
      </c>
      <c r="CH112" s="513">
        <f>(CH30)-(CH111)</f>
        <v>1153.5100000000002</v>
      </c>
      <c r="CI112" s="513">
        <f>(CI30)-(CI111)</f>
        <v>0</v>
      </c>
      <c r="CJ112" s="513">
        <f t="shared" si="189"/>
        <v>1153.5100000000002</v>
      </c>
      <c r="CK112" s="514" t="str">
        <f t="shared" si="190"/>
        <v/>
      </c>
      <c r="CL112" s="513">
        <f t="shared" si="191"/>
        <v>-11671.81</v>
      </c>
      <c r="CM112" s="513">
        <f t="shared" si="191"/>
        <v>0</v>
      </c>
      <c r="CN112" s="513">
        <f t="shared" si="192"/>
        <v>-11671.81</v>
      </c>
      <c r="CO112" s="514" t="str">
        <f t="shared" si="193"/>
        <v/>
      </c>
      <c r="CP112" s="513">
        <f>(CP30)-(CP111)</f>
        <v>-3981.0200000000004</v>
      </c>
      <c r="CQ112" s="513">
        <f>(CQ30)-(CQ111)</f>
        <v>0</v>
      </c>
      <c r="CR112" s="513">
        <f t="shared" si="194"/>
        <v>-3981.0200000000004</v>
      </c>
      <c r="CS112" s="514" t="str">
        <f t="shared" si="195"/>
        <v/>
      </c>
      <c r="CT112" s="513">
        <f>(CT30)-(CT111)</f>
        <v>665.91999999999825</v>
      </c>
      <c r="CU112" s="513">
        <f>(CU30)-(CU111)</f>
        <v>0</v>
      </c>
      <c r="CV112" s="513">
        <f t="shared" si="196"/>
        <v>665.91999999999825</v>
      </c>
      <c r="CW112" s="514" t="str">
        <f t="shared" si="197"/>
        <v/>
      </c>
      <c r="CX112" s="513">
        <f t="shared" si="198"/>
        <v>-3315.1000000000022</v>
      </c>
      <c r="CY112" s="513">
        <f t="shared" si="198"/>
        <v>0</v>
      </c>
      <c r="CZ112" s="513">
        <f t="shared" si="199"/>
        <v>-3315.1000000000022</v>
      </c>
      <c r="DA112" s="514" t="str">
        <f t="shared" si="200"/>
        <v/>
      </c>
      <c r="DB112" s="513">
        <f>(DB30)-(DB111)</f>
        <v>14475.770000000002</v>
      </c>
      <c r="DC112" s="513">
        <f>(DC30)-(DC111)</f>
        <v>0</v>
      </c>
      <c r="DD112" s="513">
        <f t="shared" si="201"/>
        <v>14475.770000000002</v>
      </c>
      <c r="DE112" s="514" t="str">
        <f t="shared" si="202"/>
        <v/>
      </c>
      <c r="DF112" s="513">
        <f>(DF30)-(DF111)</f>
        <v>-20494.730000000003</v>
      </c>
      <c r="DG112" s="513">
        <f>(DG30)-(DG111)</f>
        <v>0</v>
      </c>
      <c r="DH112" s="513">
        <f t="shared" si="203"/>
        <v>-20494.730000000003</v>
      </c>
      <c r="DI112" s="514" t="str">
        <f t="shared" si="204"/>
        <v/>
      </c>
      <c r="DJ112" s="513">
        <f t="shared" si="205"/>
        <v>-6018.9600000000009</v>
      </c>
      <c r="DK112" s="513">
        <f t="shared" si="205"/>
        <v>0</v>
      </c>
      <c r="DL112" s="513">
        <f t="shared" si="206"/>
        <v>-6018.9600000000009</v>
      </c>
      <c r="DM112" s="514" t="str">
        <f t="shared" si="207"/>
        <v/>
      </c>
      <c r="DN112" s="513">
        <f>(DN30)-(DN111)</f>
        <v>0</v>
      </c>
      <c r="DO112" s="513">
        <f>(DO30)-(DO111)</f>
        <v>0</v>
      </c>
      <c r="DP112" s="513">
        <f t="shared" si="208"/>
        <v>0</v>
      </c>
      <c r="DQ112" s="514" t="str">
        <f t="shared" si="209"/>
        <v/>
      </c>
      <c r="DR112" s="513">
        <f t="shared" si="210"/>
        <v>-37054.839999999946</v>
      </c>
      <c r="DS112" s="513">
        <f t="shared" si="211"/>
        <v>13456.029999999999</v>
      </c>
      <c r="DT112" s="513">
        <f t="shared" si="212"/>
        <v>-50510.869999999944</v>
      </c>
      <c r="DU112" s="514">
        <f t="shared" si="213"/>
        <v>-2.7537721006864544</v>
      </c>
    </row>
    <row r="113" spans="1:125" x14ac:dyDescent="0.25">
      <c r="A113" s="2" t="s">
        <v>118</v>
      </c>
      <c r="B113" s="513">
        <f>(B112)+(0)</f>
        <v>27783.94999999999</v>
      </c>
      <c r="C113" s="513">
        <f>(C112)+(0)</f>
        <v>12903.029999999999</v>
      </c>
      <c r="D113" s="513">
        <f t="shared" si="145"/>
        <v>14880.919999999991</v>
      </c>
      <c r="E113" s="514">
        <f t="shared" si="146"/>
        <v>2.1532888011575571</v>
      </c>
      <c r="F113" s="513">
        <f>(F112)+(0)</f>
        <v>39674.830000000045</v>
      </c>
      <c r="G113" s="513">
        <f>(G112)+(0)</f>
        <v>553</v>
      </c>
      <c r="H113" s="513">
        <f t="shared" si="147"/>
        <v>39121.830000000045</v>
      </c>
      <c r="I113" s="514">
        <f t="shared" si="148"/>
        <v>71.744719710669159</v>
      </c>
      <c r="J113" s="513">
        <f>(J112)+(0)</f>
        <v>-7815.2500000000146</v>
      </c>
      <c r="K113" s="513">
        <f>(K112)+(0)</f>
        <v>0</v>
      </c>
      <c r="L113" s="513">
        <f t="shared" si="149"/>
        <v>-7815.2500000000146</v>
      </c>
      <c r="M113" s="514" t="str">
        <f t="shared" si="150"/>
        <v/>
      </c>
      <c r="N113" s="513">
        <f>(N112)+(0)</f>
        <v>-13294.800000000003</v>
      </c>
      <c r="O113" s="513">
        <f>(O112)+(0)</f>
        <v>0</v>
      </c>
      <c r="P113" s="513">
        <f t="shared" si="151"/>
        <v>-13294.800000000003</v>
      </c>
      <c r="Q113" s="514" t="str">
        <f t="shared" si="152"/>
        <v/>
      </c>
      <c r="R113" s="513">
        <f>(R112)+(0)</f>
        <v>-48138.3</v>
      </c>
      <c r="S113" s="513">
        <f>(S112)+(0)</f>
        <v>0</v>
      </c>
      <c r="T113" s="513">
        <f t="shared" si="153"/>
        <v>-48138.3</v>
      </c>
      <c r="U113" s="514" t="str">
        <f t="shared" si="154"/>
        <v/>
      </c>
      <c r="V113" s="513">
        <f>(V112)+(0)</f>
        <v>80373.42</v>
      </c>
      <c r="W113" s="513">
        <f>(W112)+(0)</f>
        <v>0</v>
      </c>
      <c r="X113" s="513">
        <f t="shared" si="155"/>
        <v>80373.42</v>
      </c>
      <c r="Y113" s="514" t="str">
        <f t="shared" si="156"/>
        <v/>
      </c>
      <c r="Z113" s="513">
        <f>(Z112)+(0)</f>
        <v>-1842.23</v>
      </c>
      <c r="AA113" s="513">
        <f>(AA112)+(0)</f>
        <v>0</v>
      </c>
      <c r="AB113" s="513">
        <f t="shared" si="157"/>
        <v>-1842.23</v>
      </c>
      <c r="AC113" s="514" t="str">
        <f t="shared" si="158"/>
        <v/>
      </c>
      <c r="AD113" s="513">
        <f>(AD112)+(0)</f>
        <v>-3025.29</v>
      </c>
      <c r="AE113" s="513">
        <f>(AE112)+(0)</f>
        <v>0</v>
      </c>
      <c r="AF113" s="513">
        <f t="shared" si="159"/>
        <v>-3025.29</v>
      </c>
      <c r="AG113" s="514" t="str">
        <f t="shared" si="160"/>
        <v/>
      </c>
      <c r="AH113" s="513">
        <f>(AH112)+(0)</f>
        <v>-27091.79</v>
      </c>
      <c r="AI113" s="513">
        <f>(AI112)+(0)</f>
        <v>0</v>
      </c>
      <c r="AJ113" s="513">
        <f t="shared" si="161"/>
        <v>-27091.79</v>
      </c>
      <c r="AK113" s="514" t="str">
        <f t="shared" si="162"/>
        <v/>
      </c>
      <c r="AL113" s="513">
        <f>(AL112)+(0)</f>
        <v>-33352.33</v>
      </c>
      <c r="AM113" s="513">
        <f>(AM112)+(0)</f>
        <v>0</v>
      </c>
      <c r="AN113" s="513">
        <f t="shared" si="163"/>
        <v>-33352.33</v>
      </c>
      <c r="AO113" s="514" t="str">
        <f t="shared" si="164"/>
        <v/>
      </c>
      <c r="AP113" s="513">
        <f>(AP112)+(0)</f>
        <v>-11490.22</v>
      </c>
      <c r="AQ113" s="513">
        <f>(AQ112)+(0)</f>
        <v>0</v>
      </c>
      <c r="AR113" s="513">
        <f t="shared" si="165"/>
        <v>-11490.22</v>
      </c>
      <c r="AS113" s="514" t="str">
        <f t="shared" si="166"/>
        <v/>
      </c>
      <c r="AT113" s="513">
        <f>(AT112)+(0)</f>
        <v>-18554.64</v>
      </c>
      <c r="AU113" s="513">
        <f>(AU112)+(0)</f>
        <v>0</v>
      </c>
      <c r="AV113" s="513">
        <f t="shared" si="167"/>
        <v>-18554.64</v>
      </c>
      <c r="AW113" s="514" t="str">
        <f t="shared" si="168"/>
        <v/>
      </c>
      <c r="AX113" s="513">
        <f t="shared" si="169"/>
        <v>-14983.079999999993</v>
      </c>
      <c r="AY113" s="513">
        <f t="shared" si="169"/>
        <v>0</v>
      </c>
      <c r="AZ113" s="513">
        <f t="shared" si="170"/>
        <v>-14983.079999999993</v>
      </c>
      <c r="BA113" s="514" t="str">
        <f t="shared" si="171"/>
        <v/>
      </c>
      <c r="BB113" s="513">
        <f>(BB112)+(0)</f>
        <v>51594.05</v>
      </c>
      <c r="BC113" s="513">
        <f>(BC112)+(0)</f>
        <v>0</v>
      </c>
      <c r="BD113" s="513">
        <f t="shared" si="172"/>
        <v>51594.05</v>
      </c>
      <c r="BE113" s="514" t="str">
        <f t="shared" si="173"/>
        <v/>
      </c>
      <c r="BF113" s="513">
        <f>(BF112)+(0)</f>
        <v>-4230.38</v>
      </c>
      <c r="BG113" s="513">
        <f>(BG112)+(0)</f>
        <v>0</v>
      </c>
      <c r="BH113" s="513">
        <f t="shared" si="174"/>
        <v>-4230.38</v>
      </c>
      <c r="BI113" s="514" t="str">
        <f t="shared" si="175"/>
        <v/>
      </c>
      <c r="BJ113" s="513">
        <f>(BJ112)+(0)</f>
        <v>-28720.07</v>
      </c>
      <c r="BK113" s="513">
        <f>(BK112)+(0)</f>
        <v>0</v>
      </c>
      <c r="BL113" s="513">
        <f t="shared" si="176"/>
        <v>-28720.07</v>
      </c>
      <c r="BM113" s="514" t="str">
        <f t="shared" si="177"/>
        <v/>
      </c>
      <c r="BN113" s="513">
        <f>(BN112)+(0)</f>
        <v>-6790.14</v>
      </c>
      <c r="BO113" s="513">
        <f>(BO112)+(0)</f>
        <v>0</v>
      </c>
      <c r="BP113" s="513">
        <f t="shared" si="178"/>
        <v>-6790.14</v>
      </c>
      <c r="BQ113" s="514" t="str">
        <f t="shared" si="179"/>
        <v/>
      </c>
      <c r="BR113" s="513">
        <f t="shared" si="180"/>
        <v>11853.460000000006</v>
      </c>
      <c r="BS113" s="513">
        <f t="shared" si="180"/>
        <v>0</v>
      </c>
      <c r="BT113" s="513">
        <f t="shared" si="181"/>
        <v>11853.460000000006</v>
      </c>
      <c r="BU113" s="514" t="str">
        <f t="shared" si="182"/>
        <v/>
      </c>
      <c r="BV113" s="513">
        <f>(BV112)+(0)</f>
        <v>-3768.169999999991</v>
      </c>
      <c r="BW113" s="513">
        <f>(BW112)+(0)</f>
        <v>0</v>
      </c>
      <c r="BX113" s="513">
        <f t="shared" si="183"/>
        <v>-3768.169999999991</v>
      </c>
      <c r="BY113" s="514" t="str">
        <f t="shared" si="184"/>
        <v/>
      </c>
      <c r="BZ113" s="513">
        <f>(BZ112)+(0)</f>
        <v>-7361.6099999999715</v>
      </c>
      <c r="CA113" s="513">
        <f>(CA112)+(0)</f>
        <v>0</v>
      </c>
      <c r="CB113" s="513">
        <f t="shared" si="185"/>
        <v>-7361.6099999999715</v>
      </c>
      <c r="CC113" s="514" t="str">
        <f t="shared" si="186"/>
        <v/>
      </c>
      <c r="CD113" s="513">
        <f>(CD112)+(0)</f>
        <v>-12825.32</v>
      </c>
      <c r="CE113" s="513">
        <f>(CE112)+(0)</f>
        <v>0</v>
      </c>
      <c r="CF113" s="513">
        <f t="shared" si="187"/>
        <v>-12825.32</v>
      </c>
      <c r="CG113" s="514" t="str">
        <f t="shared" si="188"/>
        <v/>
      </c>
      <c r="CH113" s="513">
        <f>(CH112)+(0)</f>
        <v>1153.5100000000002</v>
      </c>
      <c r="CI113" s="513">
        <f>(CI112)+(0)</f>
        <v>0</v>
      </c>
      <c r="CJ113" s="513">
        <f t="shared" si="189"/>
        <v>1153.5100000000002</v>
      </c>
      <c r="CK113" s="514" t="str">
        <f t="shared" si="190"/>
        <v/>
      </c>
      <c r="CL113" s="513">
        <f t="shared" si="191"/>
        <v>-11671.81</v>
      </c>
      <c r="CM113" s="513">
        <f t="shared" si="191"/>
        <v>0</v>
      </c>
      <c r="CN113" s="513">
        <f t="shared" si="192"/>
        <v>-11671.81</v>
      </c>
      <c r="CO113" s="514" t="str">
        <f t="shared" si="193"/>
        <v/>
      </c>
      <c r="CP113" s="513">
        <f>(CP112)+(0)</f>
        <v>-3981.0200000000004</v>
      </c>
      <c r="CQ113" s="513">
        <f>(CQ112)+(0)</f>
        <v>0</v>
      </c>
      <c r="CR113" s="513">
        <f t="shared" si="194"/>
        <v>-3981.0200000000004</v>
      </c>
      <c r="CS113" s="514" t="str">
        <f t="shared" si="195"/>
        <v/>
      </c>
      <c r="CT113" s="513">
        <f>(CT112)+(0)</f>
        <v>665.91999999999825</v>
      </c>
      <c r="CU113" s="513">
        <f>(CU112)+(0)</f>
        <v>0</v>
      </c>
      <c r="CV113" s="513">
        <f t="shared" si="196"/>
        <v>665.91999999999825</v>
      </c>
      <c r="CW113" s="514" t="str">
        <f t="shared" si="197"/>
        <v/>
      </c>
      <c r="CX113" s="513">
        <f t="shared" si="198"/>
        <v>-3315.1000000000022</v>
      </c>
      <c r="CY113" s="513">
        <f t="shared" si="198"/>
        <v>0</v>
      </c>
      <c r="CZ113" s="513">
        <f t="shared" si="199"/>
        <v>-3315.1000000000022</v>
      </c>
      <c r="DA113" s="514" t="str">
        <f t="shared" si="200"/>
        <v/>
      </c>
      <c r="DB113" s="513">
        <f>(DB112)+(0)</f>
        <v>14475.770000000002</v>
      </c>
      <c r="DC113" s="513">
        <f>(DC112)+(0)</f>
        <v>0</v>
      </c>
      <c r="DD113" s="513">
        <f t="shared" si="201"/>
        <v>14475.770000000002</v>
      </c>
      <c r="DE113" s="514" t="str">
        <f t="shared" si="202"/>
        <v/>
      </c>
      <c r="DF113" s="513">
        <f>(DF112)+(0)</f>
        <v>-20494.730000000003</v>
      </c>
      <c r="DG113" s="513">
        <f>(DG112)+(0)</f>
        <v>0</v>
      </c>
      <c r="DH113" s="513">
        <f t="shared" si="203"/>
        <v>-20494.730000000003</v>
      </c>
      <c r="DI113" s="514" t="str">
        <f t="shared" si="204"/>
        <v/>
      </c>
      <c r="DJ113" s="513">
        <f t="shared" si="205"/>
        <v>-6018.9600000000009</v>
      </c>
      <c r="DK113" s="513">
        <f t="shared" si="205"/>
        <v>0</v>
      </c>
      <c r="DL113" s="513">
        <f t="shared" si="206"/>
        <v>-6018.9600000000009</v>
      </c>
      <c r="DM113" s="514" t="str">
        <f t="shared" si="207"/>
        <v/>
      </c>
      <c r="DN113" s="513">
        <f>(DN112)+(0)</f>
        <v>0</v>
      </c>
      <c r="DO113" s="513">
        <f>(DO112)+(0)</f>
        <v>0</v>
      </c>
      <c r="DP113" s="513">
        <f t="shared" si="208"/>
        <v>0</v>
      </c>
      <c r="DQ113" s="514" t="str">
        <f t="shared" si="209"/>
        <v/>
      </c>
      <c r="DR113" s="513">
        <f t="shared" si="210"/>
        <v>-37054.839999999946</v>
      </c>
      <c r="DS113" s="513">
        <f t="shared" si="211"/>
        <v>13456.029999999999</v>
      </c>
      <c r="DT113" s="513">
        <f t="shared" si="212"/>
        <v>-50510.869999999944</v>
      </c>
      <c r="DU113" s="514">
        <f t="shared" si="213"/>
        <v>-2.7537721006864544</v>
      </c>
    </row>
    <row r="114" spans="1:125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7" spans="1:125" x14ac:dyDescent="0.25">
      <c r="A117" s="515" t="s">
        <v>896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90F1-B6C6-481A-B2E5-89DB294AE60A}">
  <sheetPr>
    <tabColor theme="9" tint="-0.249977111117893"/>
  </sheetPr>
  <dimension ref="A1:F116"/>
  <sheetViews>
    <sheetView zoomScale="115" zoomScaleNormal="115" workbookViewId="0">
      <selection sqref="A1:B1048576"/>
    </sheetView>
  </sheetViews>
  <sheetFormatPr defaultColWidth="9.140625" defaultRowHeight="15" x14ac:dyDescent="0.25"/>
  <cols>
    <col min="1" max="1" width="30.7109375" customWidth="1"/>
    <col min="2" max="2" width="13.85546875" customWidth="1"/>
    <col min="3" max="3" width="9.140625" style="23"/>
    <col min="4" max="4" width="28.28515625" style="23" bestFit="1" customWidth="1"/>
    <col min="5" max="5" width="12" style="23" bestFit="1" customWidth="1"/>
    <col min="6" max="6" width="12.140625" style="23" bestFit="1" customWidth="1"/>
    <col min="7" max="7" width="13.28515625" style="23" bestFit="1" customWidth="1"/>
    <col min="8" max="8" width="11.140625" style="23" bestFit="1" customWidth="1"/>
    <col min="9" max="9" width="9.140625" style="23"/>
    <col min="10" max="10" width="15.140625" style="23" bestFit="1" customWidth="1"/>
    <col min="11" max="16384" width="9.140625" style="23"/>
  </cols>
  <sheetData>
    <row r="1" spans="1:2" x14ac:dyDescent="0.25">
      <c r="A1" s="23"/>
      <c r="B1" s="23"/>
    </row>
    <row r="2" spans="1:2" x14ac:dyDescent="0.25">
      <c r="A2" s="23"/>
      <c r="B2" s="23"/>
    </row>
    <row r="3" spans="1:2" x14ac:dyDescent="0.25">
      <c r="A3" s="23"/>
      <c r="B3" s="23"/>
    </row>
    <row r="4" spans="1:2" ht="15.75" thickBot="1" x14ac:dyDescent="0.3"/>
    <row r="5" spans="1:2" ht="15.75" thickBot="1" x14ac:dyDescent="0.3">
      <c r="A5" s="303"/>
      <c r="B5" s="303" t="s">
        <v>2</v>
      </c>
    </row>
    <row r="6" spans="1:2" x14ac:dyDescent="0.25">
      <c r="A6" s="117"/>
      <c r="B6" s="309" t="s">
        <v>17</v>
      </c>
    </row>
    <row r="7" spans="1:2" x14ac:dyDescent="0.25">
      <c r="A7" s="97" t="s">
        <v>18</v>
      </c>
      <c r="B7" s="118"/>
    </row>
    <row r="8" spans="1:2" x14ac:dyDescent="0.25">
      <c r="A8" s="96" t="s">
        <v>19</v>
      </c>
      <c r="B8" s="119"/>
    </row>
    <row r="9" spans="1:2" x14ac:dyDescent="0.25">
      <c r="A9" s="96" t="s">
        <v>20</v>
      </c>
      <c r="B9" s="121">
        <f t="shared" ref="B9" si="0">SUM(B7:B8)</f>
        <v>0</v>
      </c>
    </row>
    <row r="10" spans="1:2" x14ac:dyDescent="0.25">
      <c r="A10" s="96" t="s">
        <v>21</v>
      </c>
      <c r="B10" s="119"/>
    </row>
    <row r="11" spans="1:2" x14ac:dyDescent="0.25">
      <c r="A11" s="96" t="s">
        <v>22</v>
      </c>
      <c r="B11" s="119"/>
    </row>
    <row r="12" spans="1:2" x14ac:dyDescent="0.25">
      <c r="A12" s="96" t="s">
        <v>23</v>
      </c>
      <c r="B12" s="119"/>
    </row>
    <row r="13" spans="1:2" x14ac:dyDescent="0.25">
      <c r="A13" s="96" t="s">
        <v>24</v>
      </c>
      <c r="B13" s="121">
        <f>SUM(B10:B12)</f>
        <v>0</v>
      </c>
    </row>
    <row r="14" spans="1:2" x14ac:dyDescent="0.25">
      <c r="A14" s="96" t="s">
        <v>25</v>
      </c>
      <c r="B14" s="121"/>
    </row>
    <row r="15" spans="1:2" x14ac:dyDescent="0.25">
      <c r="A15" s="96" t="s">
        <v>26</v>
      </c>
      <c r="B15" s="121">
        <f>28000</f>
        <v>28000</v>
      </c>
    </row>
    <row r="16" spans="1:2" x14ac:dyDescent="0.25">
      <c r="A16" s="96" t="s">
        <v>27</v>
      </c>
      <c r="B16" s="121">
        <v>0</v>
      </c>
    </row>
    <row r="17" spans="1:2" ht="23.25" x14ac:dyDescent="0.25">
      <c r="A17" s="96" t="s">
        <v>28</v>
      </c>
      <c r="B17" s="119"/>
    </row>
    <row r="18" spans="1:2" ht="23.25" x14ac:dyDescent="0.25">
      <c r="A18" s="96" t="s">
        <v>29</v>
      </c>
      <c r="B18" s="307">
        <f>SUM('Budget Overview'!C34:O34)</f>
        <v>61532.69</v>
      </c>
    </row>
    <row r="19" spans="1:2" x14ac:dyDescent="0.25">
      <c r="A19" s="96" t="s">
        <v>30</v>
      </c>
      <c r="B19" s="119">
        <v>2500</v>
      </c>
    </row>
    <row r="20" spans="1:2" x14ac:dyDescent="0.25">
      <c r="A20" s="96" t="s">
        <v>31</v>
      </c>
      <c r="B20" s="120"/>
    </row>
    <row r="21" spans="1:2" x14ac:dyDescent="0.25">
      <c r="A21" s="96" t="s">
        <v>32</v>
      </c>
      <c r="B21" s="119"/>
    </row>
    <row r="22" spans="1:2" x14ac:dyDescent="0.25">
      <c r="A22" s="96" t="s">
        <v>33</v>
      </c>
      <c r="B22" s="121">
        <v>1500</v>
      </c>
    </row>
    <row r="23" spans="1:2" x14ac:dyDescent="0.25">
      <c r="A23" s="96" t="s">
        <v>34</v>
      </c>
      <c r="B23" s="119"/>
    </row>
    <row r="24" spans="1:2" x14ac:dyDescent="0.25">
      <c r="A24" s="96" t="s">
        <v>35</v>
      </c>
      <c r="B24" s="120"/>
    </row>
    <row r="25" spans="1:2" x14ac:dyDescent="0.25">
      <c r="A25" s="96" t="s">
        <v>36</v>
      </c>
      <c r="B25" s="120">
        <v>0</v>
      </c>
    </row>
    <row r="26" spans="1:2" x14ac:dyDescent="0.25">
      <c r="A26" s="96" t="s">
        <v>37</v>
      </c>
      <c r="B26" s="120"/>
    </row>
    <row r="27" spans="1:2" x14ac:dyDescent="0.25">
      <c r="A27" s="305" t="s">
        <v>38</v>
      </c>
      <c r="B27" s="306">
        <f>SUM(B9:B26)</f>
        <v>93532.69</v>
      </c>
    </row>
    <row r="28" spans="1:2" x14ac:dyDescent="0.25">
      <c r="A28" s="103" t="s">
        <v>39</v>
      </c>
      <c r="B28" s="122"/>
    </row>
    <row r="29" spans="1:2" x14ac:dyDescent="0.25">
      <c r="A29" s="98" t="s">
        <v>40</v>
      </c>
      <c r="B29" s="123"/>
    </row>
    <row r="30" spans="1:2" x14ac:dyDescent="0.25">
      <c r="A30" s="99" t="s">
        <v>41</v>
      </c>
      <c r="B30" s="124"/>
    </row>
    <row r="31" spans="1:2" x14ac:dyDescent="0.25">
      <c r="A31" s="104" t="s">
        <v>42</v>
      </c>
      <c r="B31" s="125"/>
    </row>
    <row r="32" spans="1:2" x14ac:dyDescent="0.25">
      <c r="A32" s="104" t="s">
        <v>742</v>
      </c>
      <c r="B32" s="125">
        <f>E66*B57</f>
        <v>64</v>
      </c>
    </row>
    <row r="33" spans="1:2" x14ac:dyDescent="0.25">
      <c r="A33" s="104" t="s">
        <v>43</v>
      </c>
      <c r="B33" s="125"/>
    </row>
    <row r="34" spans="1:2" x14ac:dyDescent="0.25">
      <c r="A34" s="310" t="s">
        <v>44</v>
      </c>
      <c r="B34" s="127">
        <f t="shared" ref="B34" si="1">(B31)+(B33)</f>
        <v>0</v>
      </c>
    </row>
    <row r="35" spans="1:2" x14ac:dyDescent="0.25">
      <c r="A35" s="104" t="s">
        <v>45</v>
      </c>
      <c r="B35" s="125">
        <f>8800*0.14</f>
        <v>1232.0000000000002</v>
      </c>
    </row>
    <row r="36" spans="1:2" x14ac:dyDescent="0.25">
      <c r="A36" s="104" t="s">
        <v>46</v>
      </c>
      <c r="B36" s="125">
        <v>7500</v>
      </c>
    </row>
    <row r="37" spans="1:2" x14ac:dyDescent="0.25">
      <c r="A37" s="104" t="s">
        <v>47</v>
      </c>
      <c r="B37" s="125">
        <v>0</v>
      </c>
    </row>
    <row r="38" spans="1:2" x14ac:dyDescent="0.25">
      <c r="A38" s="104" t="s">
        <v>48</v>
      </c>
      <c r="B38" s="125">
        <v>0</v>
      </c>
    </row>
    <row r="39" spans="1:2" x14ac:dyDescent="0.25">
      <c r="A39" s="104" t="s">
        <v>683</v>
      </c>
      <c r="B39" s="125">
        <v>0</v>
      </c>
    </row>
    <row r="40" spans="1:2" x14ac:dyDescent="0.25">
      <c r="A40" s="104" t="s">
        <v>684</v>
      </c>
      <c r="B40" s="125">
        <v>0</v>
      </c>
    </row>
    <row r="41" spans="1:2" x14ac:dyDescent="0.25">
      <c r="A41" s="104" t="s">
        <v>51</v>
      </c>
      <c r="B41" s="125">
        <v>0</v>
      </c>
    </row>
    <row r="42" spans="1:2" x14ac:dyDescent="0.25">
      <c r="A42" s="104" t="s">
        <v>52</v>
      </c>
      <c r="B42" s="125">
        <v>0</v>
      </c>
    </row>
    <row r="43" spans="1:2" x14ac:dyDescent="0.25">
      <c r="A43" s="104" t="s">
        <v>685</v>
      </c>
      <c r="B43" s="125">
        <v>0</v>
      </c>
    </row>
    <row r="44" spans="1:2" x14ac:dyDescent="0.25">
      <c r="A44" s="104" t="s">
        <v>686</v>
      </c>
      <c r="B44" s="125">
        <v>0</v>
      </c>
    </row>
    <row r="45" spans="1:2" x14ac:dyDescent="0.25">
      <c r="A45" s="104"/>
      <c r="B45" s="125"/>
    </row>
    <row r="46" spans="1:2" x14ac:dyDescent="0.25">
      <c r="A46" s="310" t="s">
        <v>53</v>
      </c>
      <c r="B46" s="127">
        <f t="shared" ref="B46" si="2">((((B38)+(B39))+(B40))+(B41))+(B42)</f>
        <v>0</v>
      </c>
    </row>
    <row r="47" spans="1:2" x14ac:dyDescent="0.25">
      <c r="A47" s="311" t="s">
        <v>54</v>
      </c>
      <c r="B47" s="125">
        <f>'BSF Award'!F19</f>
        <v>0</v>
      </c>
    </row>
    <row r="48" spans="1:2" x14ac:dyDescent="0.25">
      <c r="A48" s="311" t="s">
        <v>55</v>
      </c>
      <c r="B48" s="125"/>
    </row>
    <row r="49" spans="1:6" x14ac:dyDescent="0.25">
      <c r="A49" s="311" t="s">
        <v>56</v>
      </c>
      <c r="B49" s="125">
        <v>50</v>
      </c>
    </row>
    <row r="50" spans="1:6" ht="23.25" x14ac:dyDescent="0.25">
      <c r="A50" s="311" t="s">
        <v>57</v>
      </c>
      <c r="B50" s="125">
        <v>0</v>
      </c>
    </row>
    <row r="51" spans="1:6" x14ac:dyDescent="0.25">
      <c r="A51" s="310" t="s">
        <v>58</v>
      </c>
      <c r="B51" s="127">
        <f t="shared" ref="B51" si="3">(B49)+(B50)</f>
        <v>50</v>
      </c>
    </row>
    <row r="52" spans="1:6" ht="23.25" x14ac:dyDescent="0.25">
      <c r="A52" s="311" t="s">
        <v>59</v>
      </c>
      <c r="B52" s="125">
        <v>0</v>
      </c>
    </row>
    <row r="53" spans="1:6" ht="23.25" x14ac:dyDescent="0.25">
      <c r="A53" s="311" t="s">
        <v>60</v>
      </c>
      <c r="B53" s="125">
        <v>3500</v>
      </c>
    </row>
    <row r="54" spans="1:6" x14ac:dyDescent="0.25">
      <c r="A54" s="311" t="s">
        <v>61</v>
      </c>
      <c r="B54" s="125">
        <f>3932*0.14</f>
        <v>550.48</v>
      </c>
    </row>
    <row r="55" spans="1:6" x14ac:dyDescent="0.25">
      <c r="A55" s="99" t="s">
        <v>62</v>
      </c>
      <c r="B55" s="128">
        <f t="shared" ref="B55" si="4">(((((((((((B30)+(B34))+(B35))+(B36))+(B37))+(B46))+(B47))+(B48))+(B51))+(B52))+(B53))+(B54)</f>
        <v>12832.48</v>
      </c>
    </row>
    <row r="56" spans="1:6" x14ac:dyDescent="0.25">
      <c r="A56" s="100" t="s">
        <v>63</v>
      </c>
      <c r="B56" s="129"/>
      <c r="D56" s="23" t="s">
        <v>740</v>
      </c>
    </row>
    <row r="57" spans="1:6" x14ac:dyDescent="0.25">
      <c r="A57" s="101" t="s">
        <v>64</v>
      </c>
      <c r="B57" s="130">
        <v>16000</v>
      </c>
      <c r="D57" s="23" t="s">
        <v>152</v>
      </c>
      <c r="E57" s="23" t="s">
        <v>741</v>
      </c>
      <c r="F57" s="23">
        <v>16000</v>
      </c>
    </row>
    <row r="58" spans="1:6" x14ac:dyDescent="0.25">
      <c r="A58" s="101" t="s">
        <v>65</v>
      </c>
      <c r="B58" s="130">
        <f>'BSF Award'!F22+5000</f>
        <v>6000</v>
      </c>
    </row>
    <row r="59" spans="1:6" x14ac:dyDescent="0.25">
      <c r="A59" s="101" t="s">
        <v>66</v>
      </c>
      <c r="B59" s="130">
        <v>0</v>
      </c>
      <c r="D59" s="23" t="s">
        <v>185</v>
      </c>
      <c r="E59" s="359">
        <v>0.03</v>
      </c>
      <c r="F59" s="23">
        <f>E59*F57</f>
        <v>480</v>
      </c>
    </row>
    <row r="60" spans="1:6" x14ac:dyDescent="0.25">
      <c r="A60" s="101" t="s">
        <v>67</v>
      </c>
      <c r="B60" s="130">
        <v>0</v>
      </c>
      <c r="D60" s="23" t="s">
        <v>198</v>
      </c>
      <c r="E60" s="359">
        <v>7.6499999999999999E-2</v>
      </c>
      <c r="F60" s="23">
        <f>E60*F57</f>
        <v>1224</v>
      </c>
    </row>
    <row r="61" spans="1:6" x14ac:dyDescent="0.25">
      <c r="A61" s="102" t="s">
        <v>68</v>
      </c>
      <c r="B61" s="131">
        <f t="shared" ref="B61" si="5">(((B57)+(B58))+(B59))+(B60)</f>
        <v>22000</v>
      </c>
      <c r="D61" s="23" t="s">
        <v>209</v>
      </c>
      <c r="E61" s="359">
        <v>0.01</v>
      </c>
      <c r="F61" s="23">
        <f>E61*F57</f>
        <v>160</v>
      </c>
    </row>
    <row r="62" spans="1:6" x14ac:dyDescent="0.25">
      <c r="A62" s="101" t="s">
        <v>69</v>
      </c>
      <c r="B62" s="130">
        <f>E61*B57</f>
        <v>160</v>
      </c>
      <c r="D62" s="23" t="s">
        <v>221</v>
      </c>
      <c r="E62" s="359">
        <v>1.4999999999999999E-2</v>
      </c>
      <c r="F62" s="23">
        <f>E62*F57</f>
        <v>240</v>
      </c>
    </row>
    <row r="63" spans="1:6" x14ac:dyDescent="0.25">
      <c r="A63" s="101" t="s">
        <v>70</v>
      </c>
      <c r="B63" s="130">
        <f>(E60)*B57</f>
        <v>1224</v>
      </c>
      <c r="D63" s="23" t="s">
        <v>229</v>
      </c>
      <c r="E63" s="359">
        <v>0.04</v>
      </c>
      <c r="F63" s="23">
        <f>E63*F57</f>
        <v>640</v>
      </c>
    </row>
    <row r="64" spans="1:6" x14ac:dyDescent="0.25">
      <c r="A64" s="101" t="s">
        <v>71</v>
      </c>
      <c r="B64" s="130">
        <f>E62*B57</f>
        <v>240</v>
      </c>
      <c r="D64" s="23" t="s">
        <v>240</v>
      </c>
      <c r="E64" s="359">
        <v>0.04</v>
      </c>
      <c r="F64" s="23">
        <f>E64*F57</f>
        <v>640</v>
      </c>
    </row>
    <row r="65" spans="1:6" x14ac:dyDescent="0.25">
      <c r="A65" s="102" t="s">
        <v>72</v>
      </c>
      <c r="B65" s="131">
        <f t="shared" ref="B65" si="6">((B62)+(B63))+(B64)</f>
        <v>1624</v>
      </c>
      <c r="D65" s="23" t="s">
        <v>247</v>
      </c>
      <c r="E65" s="359">
        <v>3.85E-2</v>
      </c>
      <c r="F65" s="23">
        <f>E65*F57</f>
        <v>616</v>
      </c>
    </row>
    <row r="66" spans="1:6" x14ac:dyDescent="0.25">
      <c r="A66" s="101" t="s">
        <v>73</v>
      </c>
      <c r="B66" s="130"/>
      <c r="D66" s="23" t="s">
        <v>743</v>
      </c>
      <c r="E66" s="360">
        <v>4.0000000000000001E-3</v>
      </c>
      <c r="F66" s="23">
        <f>E66*F57</f>
        <v>64</v>
      </c>
    </row>
    <row r="67" spans="1:6" ht="23.25" x14ac:dyDescent="0.25">
      <c r="A67" s="101" t="s">
        <v>74</v>
      </c>
      <c r="B67" s="130">
        <f>E59*B57</f>
        <v>480</v>
      </c>
      <c r="E67" s="358"/>
    </row>
    <row r="68" spans="1:6" ht="23.25" x14ac:dyDescent="0.25">
      <c r="A68" s="101" t="s">
        <v>75</v>
      </c>
      <c r="B68" s="130">
        <f>(E63+E64+E65)*B57</f>
        <v>1896</v>
      </c>
      <c r="D68" s="23" t="s">
        <v>257</v>
      </c>
      <c r="E68" s="357">
        <f>SUM(E59:E67)</f>
        <v>0.254</v>
      </c>
    </row>
    <row r="69" spans="1:6" x14ac:dyDescent="0.25">
      <c r="A69" s="101" t="s">
        <v>76</v>
      </c>
      <c r="B69" s="130"/>
    </row>
    <row r="70" spans="1:6" x14ac:dyDescent="0.25">
      <c r="A70" s="102" t="s">
        <v>77</v>
      </c>
      <c r="B70" s="131">
        <f t="shared" ref="B70" si="7">(((B66)+(B67))+(B68))+(B69)</f>
        <v>2376</v>
      </c>
    </row>
    <row r="71" spans="1:6" x14ac:dyDescent="0.25">
      <c r="A71" s="100" t="s">
        <v>78</v>
      </c>
      <c r="B71" s="132">
        <f t="shared" ref="B71" si="8">(((B56)+(B61))+(B65))+(B70)</f>
        <v>26000</v>
      </c>
    </row>
    <row r="72" spans="1:6" x14ac:dyDescent="0.25">
      <c r="A72" s="105" t="s">
        <v>79</v>
      </c>
      <c r="B72" s="133"/>
    </row>
    <row r="73" spans="1:6" x14ac:dyDescent="0.25">
      <c r="A73" s="308" t="s">
        <v>80</v>
      </c>
      <c r="B73" s="134">
        <v>600</v>
      </c>
    </row>
    <row r="74" spans="1:6" x14ac:dyDescent="0.25">
      <c r="A74" s="106" t="s">
        <v>81</v>
      </c>
      <c r="B74" s="134">
        <v>600</v>
      </c>
    </row>
    <row r="75" spans="1:6" x14ac:dyDescent="0.25">
      <c r="A75" s="106" t="s">
        <v>82</v>
      </c>
      <c r="B75" s="134">
        <v>600</v>
      </c>
    </row>
    <row r="76" spans="1:6" ht="17.25" customHeight="1" x14ac:dyDescent="0.25">
      <c r="A76" s="105" t="s">
        <v>83</v>
      </c>
      <c r="B76" s="135">
        <f t="shared" ref="B76" si="9">SUM(B73:B75)</f>
        <v>1800</v>
      </c>
    </row>
    <row r="77" spans="1:6" x14ac:dyDescent="0.25">
      <c r="A77" s="107" t="s">
        <v>84</v>
      </c>
      <c r="B77" s="136"/>
    </row>
    <row r="78" spans="1:6" x14ac:dyDescent="0.25">
      <c r="A78" s="108" t="s">
        <v>85</v>
      </c>
      <c r="B78" s="137">
        <f>5000</f>
        <v>5000</v>
      </c>
    </row>
    <row r="79" spans="1:6" x14ac:dyDescent="0.25">
      <c r="A79" s="108" t="s">
        <v>758</v>
      </c>
      <c r="B79" s="137">
        <f>E64*'Budget Overview'!P57</f>
        <v>19635.903419999999</v>
      </c>
      <c r="D79" s="438"/>
    </row>
    <row r="80" spans="1:6" x14ac:dyDescent="0.25">
      <c r="A80" s="109" t="s">
        <v>86</v>
      </c>
      <c r="B80" s="138"/>
    </row>
    <row r="81" spans="1:2" x14ac:dyDescent="0.25">
      <c r="A81" s="110" t="s">
        <v>87</v>
      </c>
      <c r="B81" s="139">
        <v>1500</v>
      </c>
    </row>
    <row r="82" spans="1:2" x14ac:dyDescent="0.25">
      <c r="A82" s="110" t="s">
        <v>88</v>
      </c>
      <c r="B82" s="139">
        <v>500</v>
      </c>
    </row>
    <row r="83" spans="1:2" ht="15.75" customHeight="1" x14ac:dyDescent="0.25">
      <c r="A83" s="110" t="s">
        <v>89</v>
      </c>
      <c r="B83" s="139">
        <v>500</v>
      </c>
    </row>
    <row r="84" spans="1:2" x14ac:dyDescent="0.25">
      <c r="A84" s="109" t="s">
        <v>90</v>
      </c>
      <c r="B84" s="141">
        <f t="shared" ref="B84" si="10">(((B80)+(B81))+(B82))+(B83)</f>
        <v>2500</v>
      </c>
    </row>
    <row r="85" spans="1:2" x14ac:dyDescent="0.25">
      <c r="A85" s="111" t="s">
        <v>91</v>
      </c>
      <c r="B85" s="142"/>
    </row>
    <row r="86" spans="1:2" x14ac:dyDescent="0.25">
      <c r="A86" s="112" t="s">
        <v>92</v>
      </c>
      <c r="B86" s="143">
        <v>500</v>
      </c>
    </row>
    <row r="87" spans="1:2" x14ac:dyDescent="0.25">
      <c r="A87" s="112" t="s">
        <v>93</v>
      </c>
      <c r="B87" s="144">
        <v>800</v>
      </c>
    </row>
    <row r="88" spans="1:2" x14ac:dyDescent="0.25">
      <c r="A88" s="112" t="s">
        <v>94</v>
      </c>
      <c r="B88" s="144">
        <v>500</v>
      </c>
    </row>
    <row r="89" spans="1:2" ht="23.25" x14ac:dyDescent="0.25">
      <c r="A89" s="112" t="s">
        <v>95</v>
      </c>
      <c r="B89" s="144">
        <v>300</v>
      </c>
    </row>
    <row r="90" spans="1:2" x14ac:dyDescent="0.25">
      <c r="A90" s="111" t="s">
        <v>96</v>
      </c>
      <c r="B90" s="145">
        <f t="shared" ref="B90" si="11">((((B85)+(B86))+(B87))+(B88))+(B89)</f>
        <v>2100</v>
      </c>
    </row>
    <row r="91" spans="1:2" ht="23.25" x14ac:dyDescent="0.25">
      <c r="A91" s="113" t="s">
        <v>97</v>
      </c>
      <c r="B91" s="146"/>
    </row>
    <row r="92" spans="1:2" x14ac:dyDescent="0.25">
      <c r="A92" s="114" t="s">
        <v>98</v>
      </c>
      <c r="B92" s="147">
        <v>600</v>
      </c>
    </row>
    <row r="93" spans="1:2" x14ac:dyDescent="0.25">
      <c r="A93" s="114" t="s">
        <v>99</v>
      </c>
      <c r="B93" s="147">
        <v>600</v>
      </c>
    </row>
    <row r="94" spans="1:2" x14ac:dyDescent="0.25">
      <c r="A94" s="114" t="s">
        <v>100</v>
      </c>
      <c r="B94" s="148">
        <v>1000</v>
      </c>
    </row>
    <row r="95" spans="1:2" x14ac:dyDescent="0.25">
      <c r="A95" s="114" t="s">
        <v>101</v>
      </c>
      <c r="B95" s="148">
        <v>500</v>
      </c>
    </row>
    <row r="96" spans="1:2" ht="23.25" x14ac:dyDescent="0.25">
      <c r="A96" s="113" t="s">
        <v>653</v>
      </c>
      <c r="B96" s="149">
        <f t="shared" ref="B96" si="12">(((B91)+(B92))+(B93))+(B94)</f>
        <v>2200</v>
      </c>
    </row>
    <row r="97" spans="1:2" x14ac:dyDescent="0.25">
      <c r="A97" s="115" t="s">
        <v>103</v>
      </c>
      <c r="B97" s="150"/>
    </row>
    <row r="98" spans="1:2" x14ac:dyDescent="0.25">
      <c r="A98" s="116" t="s">
        <v>104</v>
      </c>
      <c r="B98" s="151">
        <f>(((3000*0.05)+210)*12)*0.14</f>
        <v>604.80000000000007</v>
      </c>
    </row>
    <row r="99" spans="1:2" x14ac:dyDescent="0.25">
      <c r="A99" s="116" t="s">
        <v>105</v>
      </c>
      <c r="B99" s="152">
        <v>1000</v>
      </c>
    </row>
    <row r="100" spans="1:2" x14ac:dyDescent="0.25">
      <c r="A100" s="116" t="s">
        <v>106</v>
      </c>
      <c r="B100" s="152">
        <v>1000</v>
      </c>
    </row>
    <row r="101" spans="1:2" x14ac:dyDescent="0.25">
      <c r="A101" s="116" t="s">
        <v>107</v>
      </c>
      <c r="B101" s="152">
        <v>350</v>
      </c>
    </row>
    <row r="102" spans="1:2" x14ac:dyDescent="0.25">
      <c r="A102" s="116" t="s">
        <v>108</v>
      </c>
      <c r="B102" s="152">
        <v>4500</v>
      </c>
    </row>
    <row r="103" spans="1:2" x14ac:dyDescent="0.25">
      <c r="A103" s="115" t="s">
        <v>109</v>
      </c>
      <c r="B103" s="153">
        <f t="shared" ref="B103" si="13">(((((B97)+(B98))+(B99))+(B100))+(B101))+(B102)</f>
        <v>7454.8</v>
      </c>
    </row>
    <row r="104" spans="1:2" x14ac:dyDescent="0.25">
      <c r="A104" s="103" t="s">
        <v>110</v>
      </c>
      <c r="B104" s="154">
        <v>0</v>
      </c>
    </row>
    <row r="105" spans="1:2" ht="23.25" x14ac:dyDescent="0.25">
      <c r="A105" s="103" t="s">
        <v>111</v>
      </c>
      <c r="B105" s="155">
        <v>0</v>
      </c>
    </row>
    <row r="106" spans="1:2" x14ac:dyDescent="0.25">
      <c r="A106" s="111" t="s">
        <v>112</v>
      </c>
      <c r="B106" s="142">
        <f>40000*0.14</f>
        <v>5600.0000000000009</v>
      </c>
    </row>
    <row r="107" spans="1:2" x14ac:dyDescent="0.25">
      <c r="A107" s="112" t="s">
        <v>113</v>
      </c>
      <c r="B107" s="143">
        <f>1000*0.14</f>
        <v>140</v>
      </c>
    </row>
    <row r="108" spans="1:2" ht="23.25" x14ac:dyDescent="0.25">
      <c r="A108" s="112" t="s">
        <v>114</v>
      </c>
      <c r="B108" s="143">
        <f>5500*0.14</f>
        <v>770.00000000000011</v>
      </c>
    </row>
    <row r="109" spans="1:2" x14ac:dyDescent="0.25">
      <c r="A109" s="111" t="s">
        <v>115</v>
      </c>
      <c r="B109" s="145">
        <f t="shared" ref="B109" si="14">((B106)+(B107))+(B108)</f>
        <v>6510.0000000000009</v>
      </c>
    </row>
    <row r="110" spans="1:2" x14ac:dyDescent="0.25">
      <c r="A110" s="103" t="s">
        <v>116</v>
      </c>
      <c r="B110" s="156">
        <f t="shared" ref="B110" si="15">SUM(B109+B103+B96+B90+B84+B78+B77+B76+B71+B55)</f>
        <v>66397.279999999999</v>
      </c>
    </row>
    <row r="111" spans="1:2" x14ac:dyDescent="0.25">
      <c r="A111" s="103" t="s">
        <v>117</v>
      </c>
      <c r="B111" s="122"/>
    </row>
    <row r="112" spans="1:2" x14ac:dyDescent="0.25">
      <c r="A112" s="103" t="s">
        <v>118</v>
      </c>
      <c r="B112" s="122">
        <f t="shared" ref="B112" si="16">B27-B110</f>
        <v>27135.410000000003</v>
      </c>
    </row>
    <row r="113" spans="1:2" x14ac:dyDescent="0.25">
      <c r="A113" s="2"/>
      <c r="B113" s="3"/>
    </row>
    <row r="116" spans="1:2" ht="34.5" x14ac:dyDescent="0.25">
      <c r="A116" s="345"/>
      <c r="B116" s="345" t="s">
        <v>687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8520-40E5-4D98-A16E-4DFF23A9C47F}">
  <sheetPr>
    <tabColor rgb="FF0070C0"/>
  </sheetPr>
  <dimension ref="A1:N116"/>
  <sheetViews>
    <sheetView tabSelected="1" zoomScale="85" zoomScaleNormal="85" workbookViewId="0">
      <selection activeCell="A43" sqref="A43"/>
    </sheetView>
  </sheetViews>
  <sheetFormatPr defaultColWidth="8.85546875" defaultRowHeight="17.25" x14ac:dyDescent="0.3"/>
  <cols>
    <col min="1" max="1" width="45.85546875" bestFit="1" customWidth="1"/>
    <col min="2" max="2" width="15.42578125" bestFit="1" customWidth="1"/>
    <col min="3" max="3" width="8.85546875" style="330"/>
    <col min="4" max="4" width="44.85546875" style="330" bestFit="1" customWidth="1"/>
    <col min="5" max="5" width="23.5703125" style="330" bestFit="1" customWidth="1"/>
    <col min="6" max="6" width="36.7109375" style="330" bestFit="1" customWidth="1"/>
    <col min="7" max="7" width="12.85546875" style="330" bestFit="1" customWidth="1"/>
    <col min="8" max="8" width="91.42578125" style="331" bestFit="1" customWidth="1"/>
    <col min="9" max="12" width="8.85546875" style="330"/>
    <col min="13" max="13" width="2.42578125" style="330" bestFit="1" customWidth="1"/>
    <col min="14" max="14" width="12.28515625" style="330" bestFit="1" customWidth="1"/>
    <col min="15" max="16384" width="8.85546875" style="330"/>
  </cols>
  <sheetData>
    <row r="1" spans="1:8" s="312" customFormat="1" ht="49.5" x14ac:dyDescent="0.25">
      <c r="A1" s="516"/>
      <c r="B1" s="516"/>
      <c r="D1" s="603" t="s">
        <v>865</v>
      </c>
      <c r="E1" s="604"/>
      <c r="F1" s="604"/>
      <c r="G1" s="604"/>
      <c r="H1" s="332"/>
    </row>
    <row r="2" spans="1:8" s="312" customFormat="1" ht="15.75" x14ac:dyDescent="0.25">
      <c r="A2" s="516"/>
      <c r="B2" s="516"/>
      <c r="H2" s="332"/>
    </row>
    <row r="3" spans="1:8" s="312" customFormat="1" ht="15.75" x14ac:dyDescent="0.25">
      <c r="A3" s="516"/>
      <c r="B3" s="516"/>
      <c r="D3" s="605" t="s">
        <v>615</v>
      </c>
      <c r="E3" s="605"/>
      <c r="F3" s="605"/>
      <c r="G3" s="605"/>
      <c r="H3" s="332"/>
    </row>
    <row r="4" spans="1:8" s="334" customFormat="1" ht="16.5" thickBot="1" x14ac:dyDescent="0.3">
      <c r="A4"/>
      <c r="B4"/>
      <c r="D4" s="606" t="s">
        <v>616</v>
      </c>
      <c r="E4" s="607"/>
      <c r="F4" s="607"/>
      <c r="G4" s="607"/>
      <c r="H4" s="333"/>
    </row>
    <row r="5" spans="1:8" s="312" customFormat="1" ht="15.75" thickBot="1" x14ac:dyDescent="0.25">
      <c r="A5" s="517"/>
      <c r="B5" s="517" t="s">
        <v>2</v>
      </c>
      <c r="H5" s="332"/>
    </row>
    <row r="6" spans="1:8" x14ac:dyDescent="0.3">
      <c r="A6" s="518"/>
      <c r="B6" s="519" t="s">
        <v>17</v>
      </c>
      <c r="D6" s="313" t="s">
        <v>617</v>
      </c>
      <c r="E6" s="608" t="s">
        <v>667</v>
      </c>
      <c r="F6" s="609"/>
      <c r="G6" s="610"/>
    </row>
    <row r="7" spans="1:8" x14ac:dyDescent="0.3">
      <c r="A7" s="520" t="s">
        <v>18</v>
      </c>
      <c r="B7" s="521"/>
      <c r="D7" s="314" t="s">
        <v>618</v>
      </c>
      <c r="E7" s="315">
        <f>E35/G35</f>
        <v>0.78710897912303224</v>
      </c>
      <c r="F7" s="316" t="s">
        <v>619</v>
      </c>
      <c r="G7" s="317"/>
      <c r="H7" s="335"/>
    </row>
    <row r="8" spans="1:8" s="312" customFormat="1" ht="15" x14ac:dyDescent="0.2">
      <c r="A8" s="522" t="s">
        <v>19</v>
      </c>
      <c r="B8" s="523"/>
      <c r="H8" s="332"/>
    </row>
    <row r="9" spans="1:8" s="337" customFormat="1" x14ac:dyDescent="0.2">
      <c r="A9" s="522" t="s">
        <v>20</v>
      </c>
      <c r="B9" s="524"/>
      <c r="D9" s="525" t="s">
        <v>620</v>
      </c>
      <c r="E9" s="525" t="s">
        <v>621</v>
      </c>
      <c r="F9" s="525" t="s">
        <v>622</v>
      </c>
      <c r="G9" s="525" t="s">
        <v>623</v>
      </c>
      <c r="H9" s="526"/>
    </row>
    <row r="10" spans="1:8" s="337" customFormat="1" x14ac:dyDescent="0.2">
      <c r="A10" s="522" t="s">
        <v>21</v>
      </c>
      <c r="B10" s="523"/>
      <c r="D10" s="319" t="s">
        <v>590</v>
      </c>
      <c r="E10" s="319" t="s">
        <v>624</v>
      </c>
      <c r="F10" s="319" t="s">
        <v>625</v>
      </c>
      <c r="G10" s="319" t="s">
        <v>133</v>
      </c>
      <c r="H10" s="527" t="s">
        <v>668</v>
      </c>
    </row>
    <row r="11" spans="1:8" s="337" customFormat="1" x14ac:dyDescent="0.2">
      <c r="A11" s="522" t="s">
        <v>22</v>
      </c>
      <c r="B11" s="523"/>
      <c r="D11" s="528" t="s">
        <v>635</v>
      </c>
      <c r="E11" s="322">
        <f>23000+8520+2100+42</f>
        <v>33662</v>
      </c>
      <c r="F11" s="322">
        <v>0</v>
      </c>
      <c r="G11" s="322">
        <f>SUM(E11:F11)</f>
        <v>33662</v>
      </c>
      <c r="H11" s="339" t="s">
        <v>669</v>
      </c>
    </row>
    <row r="12" spans="1:8" s="337" customFormat="1" x14ac:dyDescent="0.2">
      <c r="A12" s="522" t="s">
        <v>23</v>
      </c>
      <c r="B12" s="523"/>
      <c r="D12" s="528" t="s">
        <v>663</v>
      </c>
      <c r="E12" s="322">
        <v>0</v>
      </c>
      <c r="F12" s="322">
        <f>20000</f>
        <v>20000</v>
      </c>
      <c r="G12" s="322">
        <f t="shared" ref="G12:G34" si="0">SUM(E12:F12)</f>
        <v>20000</v>
      </c>
      <c r="H12" s="339" t="s">
        <v>670</v>
      </c>
    </row>
    <row r="13" spans="1:8" s="337" customFormat="1" x14ac:dyDescent="0.2">
      <c r="A13" s="522" t="s">
        <v>24</v>
      </c>
      <c r="B13" s="524"/>
      <c r="D13" s="528" t="s">
        <v>656</v>
      </c>
      <c r="E13" s="322">
        <v>6400</v>
      </c>
      <c r="F13" s="322">
        <v>0</v>
      </c>
      <c r="G13" s="322">
        <f t="shared" si="0"/>
        <v>6400</v>
      </c>
      <c r="H13" s="339" t="s">
        <v>135</v>
      </c>
    </row>
    <row r="14" spans="1:8" s="337" customFormat="1" x14ac:dyDescent="0.2">
      <c r="A14" s="522" t="s">
        <v>25</v>
      </c>
      <c r="B14" s="524"/>
      <c r="D14" s="528" t="s">
        <v>657</v>
      </c>
      <c r="E14" s="322">
        <v>2400</v>
      </c>
      <c r="F14" s="322">
        <v>0</v>
      </c>
      <c r="G14" s="322">
        <f t="shared" si="0"/>
        <v>2400</v>
      </c>
      <c r="H14" s="339" t="s">
        <v>135</v>
      </c>
    </row>
    <row r="15" spans="1:8" s="337" customFormat="1" x14ac:dyDescent="0.2">
      <c r="A15" s="522" t="s">
        <v>26</v>
      </c>
      <c r="B15" s="524"/>
      <c r="D15" s="528" t="s">
        <v>636</v>
      </c>
      <c r="E15" s="322">
        <f>80*1411</f>
        <v>112880</v>
      </c>
      <c r="F15" s="322">
        <v>38400</v>
      </c>
      <c r="G15" s="322">
        <f t="shared" si="0"/>
        <v>151280</v>
      </c>
      <c r="H15" s="339" t="s">
        <v>671</v>
      </c>
    </row>
    <row r="16" spans="1:8" s="337" customFormat="1" x14ac:dyDescent="0.2">
      <c r="A16" s="522" t="s">
        <v>27</v>
      </c>
      <c r="B16" s="524"/>
      <c r="D16" s="528" t="s">
        <v>637</v>
      </c>
      <c r="E16" s="322">
        <v>1500</v>
      </c>
      <c r="F16" s="322">
        <v>0</v>
      </c>
      <c r="G16" s="322">
        <f t="shared" si="0"/>
        <v>1500</v>
      </c>
      <c r="H16" s="339" t="s">
        <v>138</v>
      </c>
    </row>
    <row r="17" spans="1:14" s="337" customFormat="1" x14ac:dyDescent="0.2">
      <c r="A17" s="522" t="s">
        <v>28</v>
      </c>
      <c r="B17" s="523"/>
      <c r="D17" s="528" t="s">
        <v>655</v>
      </c>
      <c r="E17" s="322">
        <v>2500</v>
      </c>
      <c r="F17" s="322">
        <v>0</v>
      </c>
      <c r="G17" s="322">
        <f t="shared" si="0"/>
        <v>2500</v>
      </c>
      <c r="H17" s="339" t="s">
        <v>672</v>
      </c>
    </row>
    <row r="18" spans="1:14" s="337" customFormat="1" x14ac:dyDescent="0.2">
      <c r="A18" s="522" t="s">
        <v>29</v>
      </c>
      <c r="B18" s="529"/>
      <c r="D18" s="528" t="s">
        <v>638</v>
      </c>
      <c r="E18" s="322">
        <v>3000</v>
      </c>
      <c r="F18" s="322">
        <v>1600</v>
      </c>
      <c r="G18" s="322">
        <f t="shared" si="0"/>
        <v>4600</v>
      </c>
      <c r="H18" s="339" t="s">
        <v>661</v>
      </c>
      <c r="N18" s="506">
        <f>E15/80</f>
        <v>1411</v>
      </c>
    </row>
    <row r="19" spans="1:14" s="337" customFormat="1" x14ac:dyDescent="0.2">
      <c r="A19" s="522" t="s">
        <v>30</v>
      </c>
      <c r="B19" s="523"/>
      <c r="D19" s="528" t="s">
        <v>864</v>
      </c>
      <c r="E19" s="322">
        <f>30*35*12</f>
        <v>12600</v>
      </c>
      <c r="F19" s="322">
        <v>0</v>
      </c>
      <c r="G19" s="322">
        <v>0</v>
      </c>
      <c r="H19" s="339" t="s">
        <v>866</v>
      </c>
    </row>
    <row r="20" spans="1:14" s="337" customFormat="1" x14ac:dyDescent="0.2">
      <c r="A20" s="522" t="s">
        <v>31</v>
      </c>
      <c r="B20" s="530"/>
      <c r="D20" s="528" t="s">
        <v>639</v>
      </c>
      <c r="E20" s="322">
        <v>5000</v>
      </c>
      <c r="F20" s="322">
        <v>0</v>
      </c>
      <c r="G20" s="322">
        <f t="shared" si="0"/>
        <v>5000</v>
      </c>
      <c r="H20" s="339" t="s">
        <v>673</v>
      </c>
    </row>
    <row r="21" spans="1:14" s="337" customFormat="1" x14ac:dyDescent="0.2">
      <c r="A21" s="522" t="s">
        <v>32</v>
      </c>
      <c r="B21" s="523"/>
      <c r="D21" s="528" t="s">
        <v>640</v>
      </c>
      <c r="E21" s="322">
        <f>15*2080</f>
        <v>31200</v>
      </c>
      <c r="F21" s="322">
        <v>0</v>
      </c>
      <c r="G21" s="322">
        <f t="shared" si="0"/>
        <v>31200</v>
      </c>
      <c r="H21" s="339" t="s">
        <v>867</v>
      </c>
    </row>
    <row r="22" spans="1:14" s="337" customFormat="1" x14ac:dyDescent="0.2">
      <c r="A22" s="522" t="s">
        <v>33</v>
      </c>
      <c r="B22" s="524"/>
      <c r="D22" s="528" t="s">
        <v>642</v>
      </c>
      <c r="E22" s="322">
        <v>600</v>
      </c>
      <c r="F22" s="322">
        <v>1000</v>
      </c>
      <c r="G22" s="322">
        <f t="shared" si="0"/>
        <v>1600</v>
      </c>
      <c r="H22" s="339" t="s">
        <v>675</v>
      </c>
      <c r="M22" s="337" t="s">
        <v>868</v>
      </c>
    </row>
    <row r="23" spans="1:14" s="337" customFormat="1" x14ac:dyDescent="0.2">
      <c r="A23" s="522" t="s">
        <v>34</v>
      </c>
      <c r="B23" s="523"/>
      <c r="D23" s="528" t="s">
        <v>641</v>
      </c>
      <c r="E23" s="322">
        <f>E21*0.19</f>
        <v>5928</v>
      </c>
      <c r="F23" s="322">
        <v>0</v>
      </c>
      <c r="G23" s="322">
        <f t="shared" si="0"/>
        <v>5928</v>
      </c>
      <c r="H23" s="339" t="s">
        <v>869</v>
      </c>
    </row>
    <row r="24" spans="1:14" s="337" customFormat="1" x14ac:dyDescent="0.2">
      <c r="A24" s="522" t="s">
        <v>35</v>
      </c>
      <c r="B24" s="530"/>
      <c r="D24" s="528" t="s">
        <v>643</v>
      </c>
      <c r="E24" s="322">
        <v>500</v>
      </c>
      <c r="F24" s="322">
        <v>0</v>
      </c>
      <c r="G24" s="322">
        <f t="shared" si="0"/>
        <v>500</v>
      </c>
      <c r="H24" s="339" t="s">
        <v>137</v>
      </c>
    </row>
    <row r="25" spans="1:14" s="337" customFormat="1" x14ac:dyDescent="0.2">
      <c r="A25" s="522" t="s">
        <v>36</v>
      </c>
      <c r="B25" s="530"/>
      <c r="D25" s="528" t="s">
        <v>644</v>
      </c>
      <c r="E25" s="322">
        <v>3000</v>
      </c>
      <c r="F25" s="322">
        <v>0</v>
      </c>
      <c r="G25" s="322">
        <f t="shared" si="0"/>
        <v>3000</v>
      </c>
      <c r="H25" s="339" t="s">
        <v>676</v>
      </c>
    </row>
    <row r="26" spans="1:14" s="337" customFormat="1" x14ac:dyDescent="0.2">
      <c r="A26" s="522" t="s">
        <v>37</v>
      </c>
      <c r="B26" s="530"/>
      <c r="D26" s="528" t="s">
        <v>645</v>
      </c>
      <c r="E26" s="322">
        <v>1000</v>
      </c>
      <c r="F26" s="322">
        <v>700</v>
      </c>
      <c r="G26" s="322">
        <f t="shared" si="0"/>
        <v>1700</v>
      </c>
      <c r="H26" s="339" t="s">
        <v>870</v>
      </c>
    </row>
    <row r="27" spans="1:14" s="337" customFormat="1" x14ac:dyDescent="0.2">
      <c r="A27" s="531" t="s">
        <v>38</v>
      </c>
      <c r="B27" s="532">
        <f>SUM(B8:B26)</f>
        <v>0</v>
      </c>
      <c r="D27" s="528" t="s">
        <v>646</v>
      </c>
      <c r="E27" s="322">
        <v>600</v>
      </c>
      <c r="F27" s="322">
        <v>800</v>
      </c>
      <c r="G27" s="322">
        <f t="shared" si="0"/>
        <v>1400</v>
      </c>
      <c r="H27" s="339" t="s">
        <v>678</v>
      </c>
    </row>
    <row r="28" spans="1:14" s="337" customFormat="1" x14ac:dyDescent="0.2">
      <c r="A28" s="533" t="s">
        <v>39</v>
      </c>
      <c r="B28" s="534"/>
      <c r="D28" s="528" t="s">
        <v>647</v>
      </c>
      <c r="E28" s="322">
        <v>5370</v>
      </c>
      <c r="F28" s="322">
        <v>0</v>
      </c>
      <c r="G28" s="322">
        <f t="shared" si="0"/>
        <v>5370</v>
      </c>
      <c r="H28" s="339" t="s">
        <v>679</v>
      </c>
    </row>
    <row r="29" spans="1:14" s="337" customFormat="1" x14ac:dyDescent="0.2">
      <c r="A29" s="535" t="s">
        <v>40</v>
      </c>
      <c r="B29" s="536"/>
      <c r="D29" s="537" t="s">
        <v>652</v>
      </c>
      <c r="E29" s="322">
        <v>1500</v>
      </c>
      <c r="F29" s="322">
        <v>500</v>
      </c>
      <c r="G29" s="322">
        <f t="shared" si="0"/>
        <v>2000</v>
      </c>
      <c r="H29" s="340" t="s">
        <v>143</v>
      </c>
    </row>
    <row r="30" spans="1:14" s="337" customFormat="1" x14ac:dyDescent="0.2">
      <c r="A30" s="538" t="s">
        <v>41</v>
      </c>
      <c r="B30" s="539"/>
      <c r="D30" s="537" t="s">
        <v>658</v>
      </c>
      <c r="E30" s="322">
        <v>1350</v>
      </c>
      <c r="F30" s="322">
        <v>300</v>
      </c>
      <c r="G30" s="322">
        <f t="shared" si="0"/>
        <v>1650</v>
      </c>
      <c r="H30" s="340" t="s">
        <v>871</v>
      </c>
    </row>
    <row r="31" spans="1:14" s="337" customFormat="1" x14ac:dyDescent="0.2">
      <c r="A31" s="540" t="s">
        <v>42</v>
      </c>
      <c r="B31" s="541"/>
      <c r="D31" s="537" t="s">
        <v>648</v>
      </c>
      <c r="E31" s="322">
        <v>700</v>
      </c>
      <c r="F31" s="322">
        <v>400</v>
      </c>
      <c r="G31" s="322">
        <f t="shared" si="0"/>
        <v>1100</v>
      </c>
      <c r="H31" s="340" t="s">
        <v>141</v>
      </c>
    </row>
    <row r="32" spans="1:14" s="337" customFormat="1" x14ac:dyDescent="0.2">
      <c r="A32" s="540"/>
      <c r="B32" s="541"/>
      <c r="D32" s="537" t="s">
        <v>649</v>
      </c>
      <c r="E32" s="322">
        <v>1310</v>
      </c>
      <c r="F32" s="322">
        <v>1300</v>
      </c>
      <c r="G32" s="322">
        <f t="shared" si="0"/>
        <v>2610</v>
      </c>
      <c r="H32" s="340" t="s">
        <v>142</v>
      </c>
    </row>
    <row r="33" spans="1:8" s="337" customFormat="1" x14ac:dyDescent="0.2">
      <c r="A33" s="540" t="s">
        <v>43</v>
      </c>
      <c r="B33" s="541"/>
      <c r="D33" s="537" t="s">
        <v>650</v>
      </c>
      <c r="E33" s="322">
        <v>0</v>
      </c>
      <c r="F33" s="322">
        <v>8520</v>
      </c>
      <c r="G33" s="322">
        <f t="shared" si="0"/>
        <v>8520</v>
      </c>
      <c r="H33" s="340" t="s">
        <v>681</v>
      </c>
    </row>
    <row r="34" spans="1:8" s="337" customFormat="1" x14ac:dyDescent="0.2">
      <c r="A34" s="542" t="s">
        <v>44</v>
      </c>
      <c r="B34" s="543" cm="1">
        <f t="array" ref="B34:B36">(B31:B33)</f>
        <v>0</v>
      </c>
      <c r="D34" s="537" t="s">
        <v>651</v>
      </c>
      <c r="E34" s="322">
        <v>0</v>
      </c>
      <c r="F34" s="322">
        <v>2100</v>
      </c>
      <c r="G34" s="322">
        <f t="shared" si="0"/>
        <v>2100</v>
      </c>
      <c r="H34" s="340" t="s">
        <v>682</v>
      </c>
    </row>
    <row r="35" spans="1:8" s="337" customFormat="1" x14ac:dyDescent="0.2">
      <c r="A35" s="540" t="s">
        <v>45</v>
      </c>
      <c r="B35" s="541">
        <v>0</v>
      </c>
      <c r="D35" s="325" t="s">
        <v>626</v>
      </c>
      <c r="E35" s="326">
        <f>SUM(E11:E34)</f>
        <v>233000</v>
      </c>
      <c r="F35" s="326">
        <f>SUM(F11:F34)</f>
        <v>75620</v>
      </c>
      <c r="G35" s="326">
        <f>SUM(G11:G34)</f>
        <v>296020</v>
      </c>
      <c r="H35" s="342"/>
    </row>
    <row r="36" spans="1:8" s="312" customFormat="1" ht="15" x14ac:dyDescent="0.2">
      <c r="A36" s="540" t="s">
        <v>46</v>
      </c>
      <c r="B36" s="541">
        <v>0</v>
      </c>
      <c r="H36" s="332"/>
    </row>
    <row r="37" spans="1:8" s="337" customFormat="1" x14ac:dyDescent="0.2">
      <c r="A37" s="540" t="s">
        <v>47</v>
      </c>
      <c r="B37" s="541"/>
      <c r="D37" s="600" t="s">
        <v>627</v>
      </c>
      <c r="E37" s="601"/>
      <c r="F37" s="602"/>
      <c r="G37" s="544" t="s">
        <v>133</v>
      </c>
      <c r="H37" s="545"/>
    </row>
    <row r="38" spans="1:8" s="337" customFormat="1" x14ac:dyDescent="0.2">
      <c r="A38" s="540" t="s">
        <v>48</v>
      </c>
      <c r="B38" s="541"/>
      <c r="D38" s="595" t="s">
        <v>665</v>
      </c>
      <c r="E38" s="611"/>
      <c r="F38" s="596"/>
      <c r="G38" s="324">
        <v>12000</v>
      </c>
      <c r="H38" s="340"/>
    </row>
    <row r="39" spans="1:8" s="337" customFormat="1" x14ac:dyDescent="0.2">
      <c r="A39" s="540" t="s">
        <v>683</v>
      </c>
      <c r="B39" s="541"/>
      <c r="D39" s="595" t="s">
        <v>666</v>
      </c>
      <c r="E39" s="611"/>
      <c r="F39" s="596"/>
      <c r="G39" s="324">
        <v>7500</v>
      </c>
      <c r="H39" s="340"/>
    </row>
    <row r="40" spans="1:8" s="337" customFormat="1" x14ac:dyDescent="0.2">
      <c r="A40" s="540" t="s">
        <v>684</v>
      </c>
      <c r="B40" s="541"/>
      <c r="D40" s="595" t="s">
        <v>664</v>
      </c>
      <c r="E40" s="611"/>
      <c r="F40" s="596"/>
      <c r="G40" s="324">
        <v>4800</v>
      </c>
      <c r="H40" s="340"/>
    </row>
    <row r="41" spans="1:8" s="337" customFormat="1" x14ac:dyDescent="0.2">
      <c r="A41" s="540" t="s">
        <v>51</v>
      </c>
      <c r="B41" s="541"/>
      <c r="D41" s="597" t="s">
        <v>628</v>
      </c>
      <c r="E41" s="612"/>
      <c r="F41" s="598"/>
      <c r="G41" s="324">
        <f>SUM(G38:G40)</f>
        <v>24300</v>
      </c>
      <c r="H41" s="340"/>
    </row>
    <row r="42" spans="1:8" s="312" customFormat="1" ht="15" x14ac:dyDescent="0.2">
      <c r="A42" s="540" t="s">
        <v>52</v>
      </c>
      <c r="B42" s="541"/>
      <c r="H42" s="332"/>
    </row>
    <row r="43" spans="1:8" s="337" customFormat="1" x14ac:dyDescent="0.2">
      <c r="A43" s="540" t="s">
        <v>685</v>
      </c>
      <c r="B43" s="541"/>
      <c r="D43" s="613" t="s">
        <v>629</v>
      </c>
      <c r="E43" s="614"/>
      <c r="F43" s="544" t="s">
        <v>630</v>
      </c>
      <c r="G43" s="505" t="s">
        <v>631</v>
      </c>
      <c r="H43" s="329"/>
    </row>
    <row r="44" spans="1:8" s="337" customFormat="1" x14ac:dyDescent="0.2">
      <c r="A44" s="540" t="s">
        <v>686</v>
      </c>
      <c r="B44" s="541"/>
      <c r="D44" s="595" t="s">
        <v>659</v>
      </c>
      <c r="E44" s="596"/>
      <c r="F44" s="324">
        <v>6600</v>
      </c>
      <c r="G44" s="324">
        <v>0</v>
      </c>
      <c r="H44" s="340"/>
    </row>
    <row r="45" spans="1:8" s="337" customFormat="1" x14ac:dyDescent="0.2">
      <c r="A45" s="540"/>
      <c r="B45" s="541"/>
      <c r="D45" s="595" t="s">
        <v>660</v>
      </c>
      <c r="E45" s="596"/>
      <c r="F45" s="324">
        <v>0</v>
      </c>
      <c r="G45" s="324">
        <v>38400</v>
      </c>
      <c r="H45" s="340"/>
    </row>
    <row r="46" spans="1:8" s="337" customFormat="1" x14ac:dyDescent="0.2">
      <c r="A46" s="542" t="s">
        <v>53</v>
      </c>
      <c r="B46" s="543">
        <f t="shared" ref="B46" si="1">((((B38)+(B39))+(B40))+(B41))+(B42)</f>
        <v>0</v>
      </c>
      <c r="D46" s="595" t="s">
        <v>662</v>
      </c>
      <c r="E46" s="596"/>
      <c r="F46" s="324">
        <v>0</v>
      </c>
      <c r="G46" s="324">
        <v>20000</v>
      </c>
      <c r="H46" s="340"/>
    </row>
    <row r="47" spans="1:8" s="337" customFormat="1" x14ac:dyDescent="0.2">
      <c r="A47" s="546" t="s">
        <v>54</v>
      </c>
      <c r="B47" s="541"/>
      <c r="D47" s="597" t="s">
        <v>632</v>
      </c>
      <c r="E47" s="598"/>
      <c r="F47" s="324">
        <f>SUM(F44:F46)</f>
        <v>6600</v>
      </c>
      <c r="G47" s="324">
        <f>SUM(G44:G46)</f>
        <v>58400</v>
      </c>
      <c r="H47" s="340"/>
    </row>
    <row r="48" spans="1:8" s="312" customFormat="1" ht="15" x14ac:dyDescent="0.2">
      <c r="A48" s="546" t="s">
        <v>55</v>
      </c>
      <c r="B48" s="541"/>
      <c r="H48" s="332"/>
    </row>
    <row r="49" spans="1:8" s="337" customFormat="1" x14ac:dyDescent="0.2">
      <c r="A49" s="546" t="s">
        <v>56</v>
      </c>
      <c r="B49" s="541"/>
      <c r="D49" s="600" t="s">
        <v>633</v>
      </c>
      <c r="E49" s="601"/>
      <c r="F49" s="329" t="s">
        <v>630</v>
      </c>
      <c r="G49" s="544" t="s">
        <v>631</v>
      </c>
      <c r="H49" s="545"/>
    </row>
    <row r="50" spans="1:8" s="337" customFormat="1" x14ac:dyDescent="0.2">
      <c r="A50" s="546" t="s">
        <v>57</v>
      </c>
      <c r="B50" s="541"/>
      <c r="D50" s="595" t="s">
        <v>665</v>
      </c>
      <c r="E50" s="596"/>
      <c r="F50" s="324">
        <v>12000</v>
      </c>
      <c r="G50" s="324">
        <v>0</v>
      </c>
      <c r="H50" s="340"/>
    </row>
    <row r="51" spans="1:8" s="337" customFormat="1" x14ac:dyDescent="0.2">
      <c r="A51" s="542" t="s">
        <v>58</v>
      </c>
      <c r="B51" s="543">
        <f t="shared" ref="B51" si="2">(B49)+(B50)</f>
        <v>0</v>
      </c>
      <c r="D51" s="595" t="s">
        <v>666</v>
      </c>
      <c r="E51" s="596"/>
      <c r="F51" s="324">
        <v>7500</v>
      </c>
      <c r="G51" s="324">
        <v>0</v>
      </c>
      <c r="H51" s="340"/>
    </row>
    <row r="52" spans="1:8" s="337" customFormat="1" x14ac:dyDescent="0.2">
      <c r="A52" s="546" t="s">
        <v>59</v>
      </c>
      <c r="B52" s="541"/>
      <c r="D52" s="595" t="s">
        <v>664</v>
      </c>
      <c r="E52" s="596"/>
      <c r="F52" s="324">
        <v>4800</v>
      </c>
      <c r="G52" s="324">
        <v>0</v>
      </c>
      <c r="H52" s="340"/>
    </row>
    <row r="53" spans="1:8" s="337" customFormat="1" x14ac:dyDescent="0.2">
      <c r="A53" s="546" t="s">
        <v>60</v>
      </c>
      <c r="B53" s="541"/>
      <c r="D53" s="597" t="s">
        <v>634</v>
      </c>
      <c r="E53" s="598"/>
      <c r="F53" s="324">
        <f>SUM(F50:F52)</f>
        <v>24300</v>
      </c>
      <c r="G53" s="324">
        <f>SUM(G50:G52)</f>
        <v>0</v>
      </c>
      <c r="H53" s="340"/>
    </row>
    <row r="54" spans="1:8" x14ac:dyDescent="0.3">
      <c r="A54" s="546" t="s">
        <v>61</v>
      </c>
      <c r="B54" s="541"/>
    </row>
    <row r="55" spans="1:8" x14ac:dyDescent="0.3">
      <c r="A55" s="538" t="s">
        <v>62</v>
      </c>
      <c r="B55" s="547">
        <f t="shared" ref="B55" si="3">(((((((((((B30)+(B34))+(B35))+(B36))+(B37))+(B46))+(B47))+(B48))+(B51))+(B52))+(B53))+(B54)</f>
        <v>0</v>
      </c>
      <c r="D55" s="599"/>
      <c r="E55" s="599"/>
      <c r="F55" s="599"/>
      <c r="G55" s="599"/>
    </row>
    <row r="56" spans="1:8" x14ac:dyDescent="0.3">
      <c r="A56" s="548" t="s">
        <v>63</v>
      </c>
      <c r="B56" s="549"/>
    </row>
    <row r="57" spans="1:8" x14ac:dyDescent="0.3">
      <c r="A57" s="550" t="s">
        <v>64</v>
      </c>
      <c r="B57" s="551"/>
    </row>
    <row r="58" spans="1:8" x14ac:dyDescent="0.3">
      <c r="A58" s="550" t="s">
        <v>65</v>
      </c>
      <c r="B58" s="551"/>
    </row>
    <row r="59" spans="1:8" x14ac:dyDescent="0.3">
      <c r="A59" s="550" t="s">
        <v>66</v>
      </c>
      <c r="B59" s="551"/>
    </row>
    <row r="60" spans="1:8" x14ac:dyDescent="0.3">
      <c r="A60" s="550" t="s">
        <v>67</v>
      </c>
      <c r="B60" s="551"/>
    </row>
    <row r="61" spans="1:8" x14ac:dyDescent="0.3">
      <c r="A61" s="552" t="s">
        <v>68</v>
      </c>
      <c r="B61" s="553">
        <f t="shared" ref="B61" si="4">(((B57)+(B58))+(B59))+(B60)</f>
        <v>0</v>
      </c>
    </row>
    <row r="62" spans="1:8" x14ac:dyDescent="0.3">
      <c r="A62" s="550" t="s">
        <v>69</v>
      </c>
      <c r="B62" s="551"/>
    </row>
    <row r="63" spans="1:8" x14ac:dyDescent="0.3">
      <c r="A63" s="550" t="s">
        <v>70</v>
      </c>
      <c r="B63" s="551"/>
    </row>
    <row r="64" spans="1:8" x14ac:dyDescent="0.3">
      <c r="A64" s="550" t="s">
        <v>71</v>
      </c>
      <c r="B64" s="551"/>
    </row>
    <row r="65" spans="1:2" x14ac:dyDescent="0.3">
      <c r="A65" s="552" t="s">
        <v>72</v>
      </c>
      <c r="B65" s="553">
        <f t="shared" ref="B65" si="5">((B62)+(B63))+(B64)</f>
        <v>0</v>
      </c>
    </row>
    <row r="66" spans="1:2" x14ac:dyDescent="0.3">
      <c r="A66" s="550" t="s">
        <v>73</v>
      </c>
      <c r="B66" s="551"/>
    </row>
    <row r="67" spans="1:2" x14ac:dyDescent="0.3">
      <c r="A67" s="550" t="s">
        <v>74</v>
      </c>
      <c r="B67" s="551"/>
    </row>
    <row r="68" spans="1:2" x14ac:dyDescent="0.3">
      <c r="A68" s="550" t="s">
        <v>75</v>
      </c>
      <c r="B68" s="551"/>
    </row>
    <row r="69" spans="1:2" x14ac:dyDescent="0.3">
      <c r="A69" s="550" t="s">
        <v>76</v>
      </c>
      <c r="B69" s="551"/>
    </row>
    <row r="70" spans="1:2" x14ac:dyDescent="0.3">
      <c r="A70" s="552" t="s">
        <v>77</v>
      </c>
      <c r="B70" s="553">
        <f t="shared" ref="B70" si="6">(((B66)+(B67))+(B68))+(B69)</f>
        <v>0</v>
      </c>
    </row>
    <row r="71" spans="1:2" x14ac:dyDescent="0.3">
      <c r="A71" s="548" t="s">
        <v>78</v>
      </c>
      <c r="B71" s="554">
        <f t="shared" ref="B71" si="7">(((B56)+(B61))+(B65))+(B70)</f>
        <v>0</v>
      </c>
    </row>
    <row r="72" spans="1:2" x14ac:dyDescent="0.3">
      <c r="A72" s="555" t="s">
        <v>79</v>
      </c>
      <c r="B72" s="556"/>
    </row>
    <row r="73" spans="1:2" x14ac:dyDescent="0.3">
      <c r="A73" s="557" t="s">
        <v>80</v>
      </c>
      <c r="B73" s="558"/>
    </row>
    <row r="74" spans="1:2" x14ac:dyDescent="0.3">
      <c r="A74" s="559" t="s">
        <v>81</v>
      </c>
      <c r="B74" s="558"/>
    </row>
    <row r="75" spans="1:2" x14ac:dyDescent="0.3">
      <c r="A75" s="559" t="s">
        <v>82</v>
      </c>
      <c r="B75" s="558"/>
    </row>
    <row r="76" spans="1:2" x14ac:dyDescent="0.3">
      <c r="A76" s="555" t="s">
        <v>83</v>
      </c>
      <c r="B76" s="560">
        <f t="shared" ref="B76" si="8">SUM(B73:B75)</f>
        <v>0</v>
      </c>
    </row>
    <row r="77" spans="1:2" x14ac:dyDescent="0.3">
      <c r="A77" s="561" t="s">
        <v>84</v>
      </c>
      <c r="B77" s="562"/>
    </row>
    <row r="78" spans="1:2" x14ac:dyDescent="0.3">
      <c r="A78" s="563" t="s">
        <v>85</v>
      </c>
      <c r="B78" s="564"/>
    </row>
    <row r="79" spans="1:2" x14ac:dyDescent="0.3">
      <c r="A79" s="563" t="s">
        <v>758</v>
      </c>
      <c r="B79" s="564"/>
    </row>
    <row r="80" spans="1:2" x14ac:dyDescent="0.3">
      <c r="A80" s="565" t="s">
        <v>86</v>
      </c>
      <c r="B80" s="566"/>
    </row>
    <row r="81" spans="1:2" x14ac:dyDescent="0.3">
      <c r="A81" s="567" t="s">
        <v>87</v>
      </c>
      <c r="B81" s="568"/>
    </row>
    <row r="82" spans="1:2" x14ac:dyDescent="0.3">
      <c r="A82" s="567" t="s">
        <v>88</v>
      </c>
      <c r="B82" s="568"/>
    </row>
    <row r="83" spans="1:2" x14ac:dyDescent="0.3">
      <c r="A83" s="567" t="s">
        <v>89</v>
      </c>
      <c r="B83" s="568"/>
    </row>
    <row r="84" spans="1:2" x14ac:dyDescent="0.3">
      <c r="A84" s="565" t="s">
        <v>90</v>
      </c>
      <c r="B84" s="569">
        <f t="shared" ref="B84" si="9">(((B80)+(B81))+(B82))+(B83)</f>
        <v>0</v>
      </c>
    </row>
    <row r="85" spans="1:2" x14ac:dyDescent="0.3">
      <c r="A85" s="570" t="s">
        <v>91</v>
      </c>
      <c r="B85" s="571"/>
    </row>
    <row r="86" spans="1:2" x14ac:dyDescent="0.3">
      <c r="A86" s="572" t="s">
        <v>92</v>
      </c>
      <c r="B86" s="573"/>
    </row>
    <row r="87" spans="1:2" x14ac:dyDescent="0.3">
      <c r="A87" s="572" t="s">
        <v>93</v>
      </c>
      <c r="B87" s="574"/>
    </row>
    <row r="88" spans="1:2" x14ac:dyDescent="0.3">
      <c r="A88" s="572" t="s">
        <v>94</v>
      </c>
      <c r="B88" s="574"/>
    </row>
    <row r="89" spans="1:2" x14ac:dyDescent="0.3">
      <c r="A89" s="572" t="s">
        <v>95</v>
      </c>
      <c r="B89" s="574"/>
    </row>
    <row r="90" spans="1:2" x14ac:dyDescent="0.3">
      <c r="A90" s="570" t="s">
        <v>96</v>
      </c>
      <c r="B90" s="575">
        <f t="shared" ref="B90" si="10">((((B85)+(B86))+(B87))+(B88))+(B89)</f>
        <v>0</v>
      </c>
    </row>
    <row r="91" spans="1:2" x14ac:dyDescent="0.3">
      <c r="A91" s="576" t="s">
        <v>97</v>
      </c>
      <c r="B91" s="577"/>
    </row>
    <row r="92" spans="1:2" x14ac:dyDescent="0.3">
      <c r="A92" s="578" t="s">
        <v>98</v>
      </c>
      <c r="B92" s="579"/>
    </row>
    <row r="93" spans="1:2" x14ac:dyDescent="0.3">
      <c r="A93" s="578" t="s">
        <v>99</v>
      </c>
      <c r="B93" s="579"/>
    </row>
    <row r="94" spans="1:2" x14ac:dyDescent="0.3">
      <c r="A94" s="578" t="s">
        <v>100</v>
      </c>
      <c r="B94" s="580"/>
    </row>
    <row r="95" spans="1:2" x14ac:dyDescent="0.3">
      <c r="A95" s="578" t="s">
        <v>101</v>
      </c>
      <c r="B95" s="580"/>
    </row>
    <row r="96" spans="1:2" x14ac:dyDescent="0.3">
      <c r="A96" s="576" t="s">
        <v>653</v>
      </c>
      <c r="B96" s="581">
        <f t="shared" ref="B96" si="11">(((B91)+(B92))+(B93))+(B94)</f>
        <v>0</v>
      </c>
    </row>
    <row r="97" spans="1:2" x14ac:dyDescent="0.3">
      <c r="A97" s="582" t="s">
        <v>103</v>
      </c>
      <c r="B97" s="583"/>
    </row>
    <row r="98" spans="1:2" x14ac:dyDescent="0.3">
      <c r="A98" s="584" t="s">
        <v>104</v>
      </c>
      <c r="B98" s="585"/>
    </row>
    <row r="99" spans="1:2" x14ac:dyDescent="0.3">
      <c r="A99" s="584" t="s">
        <v>105</v>
      </c>
      <c r="B99" s="586"/>
    </row>
    <row r="100" spans="1:2" x14ac:dyDescent="0.3">
      <c r="A100" s="584" t="s">
        <v>106</v>
      </c>
      <c r="B100" s="586"/>
    </row>
    <row r="101" spans="1:2" x14ac:dyDescent="0.3">
      <c r="A101" s="584" t="s">
        <v>107</v>
      </c>
      <c r="B101" s="586"/>
    </row>
    <row r="102" spans="1:2" x14ac:dyDescent="0.3">
      <c r="A102" s="584" t="s">
        <v>108</v>
      </c>
      <c r="B102" s="586"/>
    </row>
    <row r="103" spans="1:2" x14ac:dyDescent="0.3">
      <c r="A103" s="582" t="s">
        <v>109</v>
      </c>
      <c r="B103" s="587">
        <f t="shared" ref="B103" si="12">(((((B97)+(B98))+(B99))+(B100))+(B101))+(B102)</f>
        <v>0</v>
      </c>
    </row>
    <row r="104" spans="1:2" x14ac:dyDescent="0.3">
      <c r="A104" s="533" t="s">
        <v>110</v>
      </c>
      <c r="B104" s="588"/>
    </row>
    <row r="105" spans="1:2" x14ac:dyDescent="0.3">
      <c r="A105" s="533" t="s">
        <v>111</v>
      </c>
      <c r="B105" s="589"/>
    </row>
    <row r="106" spans="1:2" x14ac:dyDescent="0.3">
      <c r="A106" s="570" t="s">
        <v>112</v>
      </c>
      <c r="B106" s="571"/>
    </row>
    <row r="107" spans="1:2" x14ac:dyDescent="0.3">
      <c r="A107" s="572" t="s">
        <v>113</v>
      </c>
      <c r="B107" s="573"/>
    </row>
    <row r="108" spans="1:2" x14ac:dyDescent="0.3">
      <c r="A108" s="572" t="s">
        <v>114</v>
      </c>
      <c r="B108" s="573"/>
    </row>
    <row r="109" spans="1:2" x14ac:dyDescent="0.3">
      <c r="A109" s="570" t="s">
        <v>115</v>
      </c>
      <c r="B109" s="575">
        <f t="shared" ref="B109" si="13">((B106)+(B107))+(B108)</f>
        <v>0</v>
      </c>
    </row>
    <row r="110" spans="1:2" x14ac:dyDescent="0.3">
      <c r="A110" s="533" t="s">
        <v>116</v>
      </c>
      <c r="B110" s="590">
        <f t="shared" ref="B110" si="14">SUM(B109+B103+B96+B90+B84+B78+B77+B76+B71+B55)</f>
        <v>0</v>
      </c>
    </row>
    <row r="111" spans="1:2" x14ac:dyDescent="0.3">
      <c r="A111" s="533" t="s">
        <v>117</v>
      </c>
      <c r="B111" s="534"/>
    </row>
    <row r="112" spans="1:2" x14ac:dyDescent="0.3">
      <c r="A112" s="533" t="s">
        <v>118</v>
      </c>
      <c r="B112" s="534">
        <f t="shared" ref="B112" si="15">B27-B110</f>
        <v>0</v>
      </c>
    </row>
    <row r="113" spans="1:2" x14ac:dyDescent="0.3">
      <c r="A113" s="591"/>
      <c r="B113" s="592"/>
    </row>
    <row r="116" spans="1:2" x14ac:dyDescent="0.3">
      <c r="A116" s="593"/>
      <c r="B116" s="593"/>
    </row>
  </sheetData>
  <mergeCells count="20">
    <mergeCell ref="D44:E44"/>
    <mergeCell ref="D37:F37"/>
    <mergeCell ref="D1:G1"/>
    <mergeCell ref="D3:G3"/>
    <mergeCell ref="D4:G4"/>
    <mergeCell ref="E6:G6"/>
    <mergeCell ref="D38:F38"/>
    <mergeCell ref="D39:F39"/>
    <mergeCell ref="D40:F40"/>
    <mergeCell ref="D41:F41"/>
    <mergeCell ref="D43:E43"/>
    <mergeCell ref="D52:E52"/>
    <mergeCell ref="D53:E53"/>
    <mergeCell ref="D55:G55"/>
    <mergeCell ref="D45:E45"/>
    <mergeCell ref="D46:E46"/>
    <mergeCell ref="D47:E47"/>
    <mergeCell ref="D49:E49"/>
    <mergeCell ref="D50:E50"/>
    <mergeCell ref="D51:E5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EA8B-37C5-4E5F-B100-45CD1A860AA8}">
  <dimension ref="D1:H55"/>
  <sheetViews>
    <sheetView workbookViewId="0">
      <selection activeCell="A2" sqref="A1:C1048576"/>
    </sheetView>
  </sheetViews>
  <sheetFormatPr defaultColWidth="8.85546875" defaultRowHeight="17.25" x14ac:dyDescent="0.3"/>
  <cols>
    <col min="1" max="3" width="8.85546875" style="330"/>
    <col min="4" max="4" width="48.7109375" style="330" customWidth="1"/>
    <col min="5" max="7" width="17.7109375" style="330" customWidth="1"/>
    <col min="8" max="8" width="54" style="331" customWidth="1"/>
    <col min="9" max="16384" width="8.85546875" style="330"/>
  </cols>
  <sheetData>
    <row r="1" spans="4:8" s="312" customFormat="1" ht="33" customHeight="1" x14ac:dyDescent="0.2">
      <c r="D1" s="603" t="s">
        <v>119</v>
      </c>
      <c r="E1" s="604"/>
      <c r="F1" s="604"/>
      <c r="G1" s="604"/>
      <c r="H1" s="332"/>
    </row>
    <row r="2" spans="4:8" s="312" customFormat="1" ht="10.15" customHeight="1" x14ac:dyDescent="0.2">
      <c r="H2" s="332"/>
    </row>
    <row r="3" spans="4:8" s="312" customFormat="1" ht="83.45" customHeight="1" x14ac:dyDescent="0.2">
      <c r="D3" s="617" t="s">
        <v>615</v>
      </c>
      <c r="E3" s="617"/>
      <c r="F3" s="617"/>
      <c r="G3" s="617"/>
      <c r="H3" s="332"/>
    </row>
    <row r="4" spans="4:8" s="334" customFormat="1" ht="44.45" customHeight="1" x14ac:dyDescent="0.25">
      <c r="D4" s="618" t="s">
        <v>616</v>
      </c>
      <c r="E4" s="619"/>
      <c r="F4" s="619"/>
      <c r="G4" s="619"/>
      <c r="H4" s="333"/>
    </row>
    <row r="5" spans="4:8" s="312" customFormat="1" ht="10.15" customHeight="1" x14ac:dyDescent="0.2">
      <c r="H5" s="332"/>
    </row>
    <row r="6" spans="4:8" x14ac:dyDescent="0.3">
      <c r="D6" s="313" t="s">
        <v>617</v>
      </c>
      <c r="E6" s="608" t="s">
        <v>667</v>
      </c>
      <c r="F6" s="609"/>
      <c r="G6" s="610"/>
    </row>
    <row r="7" spans="4:8" x14ac:dyDescent="0.3">
      <c r="D7" s="314" t="s">
        <v>618</v>
      </c>
      <c r="E7" s="315">
        <f>E35/G35</f>
        <v>0.798679516532666</v>
      </c>
      <c r="F7" s="316" t="s">
        <v>619</v>
      </c>
      <c r="G7" s="317"/>
      <c r="H7" s="335"/>
    </row>
    <row r="8" spans="4:8" s="312" customFormat="1" ht="10.15" customHeight="1" x14ac:dyDescent="0.2">
      <c r="H8" s="332"/>
    </row>
    <row r="9" spans="4:8" s="337" customFormat="1" ht="12" customHeight="1" x14ac:dyDescent="0.25">
      <c r="D9" s="318" t="s">
        <v>620</v>
      </c>
      <c r="E9" s="318" t="s">
        <v>621</v>
      </c>
      <c r="F9" s="318" t="s">
        <v>622</v>
      </c>
      <c r="G9" s="318" t="s">
        <v>623</v>
      </c>
      <c r="H9" s="336"/>
    </row>
    <row r="10" spans="4:8" s="337" customFormat="1" ht="31.5" customHeight="1" x14ac:dyDescent="0.25">
      <c r="D10" s="319" t="s">
        <v>590</v>
      </c>
      <c r="E10" s="320" t="s">
        <v>624</v>
      </c>
      <c r="F10" s="320" t="s">
        <v>625</v>
      </c>
      <c r="G10" s="320" t="s">
        <v>133</v>
      </c>
      <c r="H10" s="338" t="s">
        <v>668</v>
      </c>
    </row>
    <row r="11" spans="4:8" s="337" customFormat="1" ht="30" customHeight="1" x14ac:dyDescent="0.25">
      <c r="D11" s="321" t="s">
        <v>635</v>
      </c>
      <c r="E11" s="322">
        <f>300000*0.12</f>
        <v>36000</v>
      </c>
      <c r="F11" s="322">
        <v>0</v>
      </c>
      <c r="G11" s="322">
        <f>SUM(E11:F11)</f>
        <v>36000</v>
      </c>
      <c r="H11" s="339" t="s">
        <v>669</v>
      </c>
    </row>
    <row r="12" spans="4:8" s="337" customFormat="1" ht="30" customHeight="1" x14ac:dyDescent="0.25">
      <c r="D12" s="321" t="s">
        <v>663</v>
      </c>
      <c r="E12" s="322">
        <v>0</v>
      </c>
      <c r="F12" s="322">
        <v>20000</v>
      </c>
      <c r="G12" s="322">
        <f t="shared" ref="G12:G34" si="0">SUM(E12:F12)</f>
        <v>20000</v>
      </c>
      <c r="H12" s="339" t="s">
        <v>670</v>
      </c>
    </row>
    <row r="13" spans="4:8" s="337" customFormat="1" ht="30" customHeight="1" x14ac:dyDescent="0.25">
      <c r="D13" s="321" t="s">
        <v>656</v>
      </c>
      <c r="E13" s="322">
        <v>6400</v>
      </c>
      <c r="F13" s="322">
        <v>0</v>
      </c>
      <c r="G13" s="322">
        <f t="shared" si="0"/>
        <v>6400</v>
      </c>
      <c r="H13" s="339" t="s">
        <v>135</v>
      </c>
    </row>
    <row r="14" spans="4:8" s="337" customFormat="1" ht="30" customHeight="1" x14ac:dyDescent="0.25">
      <c r="D14" s="321" t="s">
        <v>657</v>
      </c>
      <c r="E14" s="322">
        <v>2400</v>
      </c>
      <c r="F14" s="322">
        <v>0</v>
      </c>
      <c r="G14" s="322">
        <f t="shared" si="0"/>
        <v>2400</v>
      </c>
      <c r="H14" s="339" t="s">
        <v>135</v>
      </c>
    </row>
    <row r="15" spans="4:8" s="337" customFormat="1" ht="30" customHeight="1" x14ac:dyDescent="0.25">
      <c r="D15" s="321" t="s">
        <v>636</v>
      </c>
      <c r="E15" s="322">
        <v>144000</v>
      </c>
      <c r="F15" s="322">
        <v>38400</v>
      </c>
      <c r="G15" s="322">
        <f t="shared" si="0"/>
        <v>182400</v>
      </c>
      <c r="H15" s="339" t="s">
        <v>671</v>
      </c>
    </row>
    <row r="16" spans="4:8" s="337" customFormat="1" ht="30" customHeight="1" x14ac:dyDescent="0.25">
      <c r="D16" s="321" t="s">
        <v>637</v>
      </c>
      <c r="E16" s="322">
        <v>3000</v>
      </c>
      <c r="F16" s="322">
        <v>0</v>
      </c>
      <c r="G16" s="322">
        <f t="shared" si="0"/>
        <v>3000</v>
      </c>
      <c r="H16" s="339" t="s">
        <v>138</v>
      </c>
    </row>
    <row r="17" spans="4:8" s="337" customFormat="1" ht="30" customHeight="1" x14ac:dyDescent="0.25">
      <c r="D17" s="321" t="s">
        <v>655</v>
      </c>
      <c r="E17" s="322">
        <v>2500</v>
      </c>
      <c r="F17" s="322">
        <v>0</v>
      </c>
      <c r="G17" s="322">
        <f t="shared" si="0"/>
        <v>2500</v>
      </c>
      <c r="H17" s="339" t="s">
        <v>672</v>
      </c>
    </row>
    <row r="18" spans="4:8" s="337" customFormat="1" ht="30" customHeight="1" x14ac:dyDescent="0.25">
      <c r="D18" s="321" t="s">
        <v>654</v>
      </c>
      <c r="E18" s="322">
        <v>2000</v>
      </c>
      <c r="F18" s="322">
        <v>0</v>
      </c>
      <c r="G18" s="322">
        <f t="shared" si="0"/>
        <v>2000</v>
      </c>
      <c r="H18" s="339" t="s">
        <v>136</v>
      </c>
    </row>
    <row r="19" spans="4:8" s="337" customFormat="1" ht="30" customHeight="1" x14ac:dyDescent="0.25">
      <c r="D19" s="321" t="s">
        <v>638</v>
      </c>
      <c r="E19" s="322">
        <v>5000</v>
      </c>
      <c r="F19" s="322">
        <v>1600</v>
      </c>
      <c r="G19" s="322">
        <f t="shared" si="0"/>
        <v>6600</v>
      </c>
      <c r="H19" s="339" t="s">
        <v>661</v>
      </c>
    </row>
    <row r="20" spans="4:8" s="337" customFormat="1" ht="30" customHeight="1" x14ac:dyDescent="0.25">
      <c r="D20" s="321" t="s">
        <v>639</v>
      </c>
      <c r="E20" s="322">
        <v>5000</v>
      </c>
      <c r="F20" s="322">
        <v>0</v>
      </c>
      <c r="G20" s="322">
        <f t="shared" si="0"/>
        <v>5000</v>
      </c>
      <c r="H20" s="339" t="s">
        <v>673</v>
      </c>
    </row>
    <row r="21" spans="4:8" s="337" customFormat="1" ht="30" customHeight="1" x14ac:dyDescent="0.25">
      <c r="D21" s="321" t="s">
        <v>640</v>
      </c>
      <c r="E21" s="322">
        <v>66200</v>
      </c>
      <c r="F21" s="322">
        <v>0</v>
      </c>
      <c r="G21" s="322">
        <f t="shared" si="0"/>
        <v>66200</v>
      </c>
      <c r="H21" s="339" t="s">
        <v>674</v>
      </c>
    </row>
    <row r="22" spans="4:8" s="337" customFormat="1" ht="30" customHeight="1" x14ac:dyDescent="0.25">
      <c r="D22" s="321" t="s">
        <v>642</v>
      </c>
      <c r="E22" s="322">
        <v>600</v>
      </c>
      <c r="F22" s="322">
        <v>1000</v>
      </c>
      <c r="G22" s="322">
        <f t="shared" si="0"/>
        <v>1600</v>
      </c>
      <c r="H22" s="339" t="s">
        <v>675</v>
      </c>
    </row>
    <row r="23" spans="4:8" s="337" customFormat="1" ht="30" customHeight="1" x14ac:dyDescent="0.25">
      <c r="D23" s="321" t="s">
        <v>641</v>
      </c>
      <c r="E23" s="322">
        <v>6620</v>
      </c>
      <c r="F23" s="322">
        <v>0</v>
      </c>
      <c r="G23" s="322">
        <f t="shared" si="0"/>
        <v>6620</v>
      </c>
      <c r="H23" s="339" t="s">
        <v>674</v>
      </c>
    </row>
    <row r="24" spans="4:8" s="337" customFormat="1" ht="30" customHeight="1" x14ac:dyDescent="0.25">
      <c r="D24" s="321" t="s">
        <v>643</v>
      </c>
      <c r="E24" s="322">
        <v>500</v>
      </c>
      <c r="F24" s="322">
        <v>0</v>
      </c>
      <c r="G24" s="322">
        <f t="shared" si="0"/>
        <v>500</v>
      </c>
      <c r="H24" s="339" t="s">
        <v>137</v>
      </c>
    </row>
    <row r="25" spans="4:8" s="337" customFormat="1" ht="30" customHeight="1" x14ac:dyDescent="0.25">
      <c r="D25" s="321" t="s">
        <v>644</v>
      </c>
      <c r="E25" s="322">
        <v>6000</v>
      </c>
      <c r="F25" s="322">
        <v>0</v>
      </c>
      <c r="G25" s="322">
        <f t="shared" si="0"/>
        <v>6000</v>
      </c>
      <c r="H25" s="339" t="s">
        <v>676</v>
      </c>
    </row>
    <row r="26" spans="4:8" s="337" customFormat="1" ht="30" customHeight="1" x14ac:dyDescent="0.25">
      <c r="D26" s="321" t="s">
        <v>645</v>
      </c>
      <c r="E26" s="322">
        <v>1000</v>
      </c>
      <c r="F26" s="322">
        <v>700</v>
      </c>
      <c r="G26" s="322">
        <f t="shared" si="0"/>
        <v>1700</v>
      </c>
      <c r="H26" s="339" t="s">
        <v>677</v>
      </c>
    </row>
    <row r="27" spans="4:8" s="337" customFormat="1" ht="30" customHeight="1" x14ac:dyDescent="0.25">
      <c r="D27" s="321" t="s">
        <v>646</v>
      </c>
      <c r="E27" s="322">
        <v>1200</v>
      </c>
      <c r="F27" s="322">
        <v>800</v>
      </c>
      <c r="G27" s="322">
        <f t="shared" si="0"/>
        <v>2000</v>
      </c>
      <c r="H27" s="339" t="s">
        <v>678</v>
      </c>
    </row>
    <row r="28" spans="4:8" s="337" customFormat="1" ht="30" customHeight="1" x14ac:dyDescent="0.25">
      <c r="D28" s="321" t="s">
        <v>647</v>
      </c>
      <c r="E28" s="322">
        <v>5370</v>
      </c>
      <c r="F28" s="322">
        <v>0</v>
      </c>
      <c r="G28" s="322">
        <f t="shared" si="0"/>
        <v>5370</v>
      </c>
      <c r="H28" s="339" t="s">
        <v>679</v>
      </c>
    </row>
    <row r="29" spans="4:8" s="337" customFormat="1" ht="30" customHeight="1" x14ac:dyDescent="0.25">
      <c r="D29" s="323" t="s">
        <v>652</v>
      </c>
      <c r="E29" s="322">
        <v>1500</v>
      </c>
      <c r="F29" s="322">
        <v>500</v>
      </c>
      <c r="G29" s="322">
        <f t="shared" si="0"/>
        <v>2000</v>
      </c>
      <c r="H29" s="340" t="s">
        <v>143</v>
      </c>
    </row>
    <row r="30" spans="4:8" s="337" customFormat="1" ht="30" customHeight="1" x14ac:dyDescent="0.25">
      <c r="D30" s="323" t="s">
        <v>658</v>
      </c>
      <c r="E30" s="322">
        <v>2700</v>
      </c>
      <c r="F30" s="322">
        <v>300</v>
      </c>
      <c r="G30" s="322">
        <f t="shared" si="0"/>
        <v>3000</v>
      </c>
      <c r="H30" s="340" t="s">
        <v>680</v>
      </c>
    </row>
    <row r="31" spans="4:8" s="337" customFormat="1" ht="30" customHeight="1" x14ac:dyDescent="0.25">
      <c r="D31" s="323" t="s">
        <v>648</v>
      </c>
      <c r="E31" s="322">
        <v>700</v>
      </c>
      <c r="F31" s="322">
        <v>400</v>
      </c>
      <c r="G31" s="322">
        <f t="shared" si="0"/>
        <v>1100</v>
      </c>
      <c r="H31" s="340" t="s">
        <v>141</v>
      </c>
    </row>
    <row r="32" spans="4:8" s="337" customFormat="1" ht="30" customHeight="1" x14ac:dyDescent="0.25">
      <c r="D32" s="323" t="s">
        <v>649</v>
      </c>
      <c r="E32" s="322">
        <v>1310</v>
      </c>
      <c r="F32" s="322">
        <v>1300</v>
      </c>
      <c r="G32" s="322">
        <f t="shared" si="0"/>
        <v>2610</v>
      </c>
      <c r="H32" s="340" t="s">
        <v>142</v>
      </c>
    </row>
    <row r="33" spans="4:8" s="337" customFormat="1" ht="30" customHeight="1" x14ac:dyDescent="0.25">
      <c r="D33" s="323" t="s">
        <v>650</v>
      </c>
      <c r="E33" s="322">
        <v>0</v>
      </c>
      <c r="F33" s="322">
        <v>8520</v>
      </c>
      <c r="G33" s="322">
        <f t="shared" si="0"/>
        <v>8520</v>
      </c>
      <c r="H33" s="341" t="s">
        <v>681</v>
      </c>
    </row>
    <row r="34" spans="4:8" s="337" customFormat="1" ht="30" customHeight="1" x14ac:dyDescent="0.25">
      <c r="D34" s="323" t="s">
        <v>651</v>
      </c>
      <c r="E34" s="322">
        <v>0</v>
      </c>
      <c r="F34" s="322">
        <v>2100</v>
      </c>
      <c r="G34" s="322">
        <f t="shared" si="0"/>
        <v>2100</v>
      </c>
      <c r="H34" s="340" t="s">
        <v>682</v>
      </c>
    </row>
    <row r="35" spans="4:8" s="337" customFormat="1" ht="19.149999999999999" customHeight="1" x14ac:dyDescent="0.25">
      <c r="D35" s="325" t="s">
        <v>626</v>
      </c>
      <c r="E35" s="326">
        <f>SUM(E11:E34)</f>
        <v>300000</v>
      </c>
      <c r="F35" s="326">
        <f>SUM(F11:F34)</f>
        <v>75620</v>
      </c>
      <c r="G35" s="326">
        <f>SUM(G11:G34)</f>
        <v>375620</v>
      </c>
      <c r="H35" s="342"/>
    </row>
    <row r="36" spans="4:8" s="312" customFormat="1" ht="10.15" customHeight="1" x14ac:dyDescent="0.2">
      <c r="H36" s="332"/>
    </row>
    <row r="37" spans="4:8" s="337" customFormat="1" ht="21" customHeight="1" x14ac:dyDescent="0.25">
      <c r="D37" s="600" t="s">
        <v>627</v>
      </c>
      <c r="E37" s="601"/>
      <c r="F37" s="602"/>
      <c r="G37" s="327" t="s">
        <v>133</v>
      </c>
      <c r="H37" s="343"/>
    </row>
    <row r="38" spans="4:8" s="337" customFormat="1" ht="30" customHeight="1" x14ac:dyDescent="0.25">
      <c r="D38" s="595" t="s">
        <v>665</v>
      </c>
      <c r="E38" s="611"/>
      <c r="F38" s="596"/>
      <c r="G38" s="324">
        <v>12000</v>
      </c>
      <c r="H38" s="340"/>
    </row>
    <row r="39" spans="4:8" s="337" customFormat="1" ht="30" customHeight="1" x14ac:dyDescent="0.25">
      <c r="D39" s="595" t="s">
        <v>666</v>
      </c>
      <c r="E39" s="611"/>
      <c r="F39" s="596"/>
      <c r="G39" s="324">
        <v>7500</v>
      </c>
      <c r="H39" s="340"/>
    </row>
    <row r="40" spans="4:8" s="337" customFormat="1" ht="30" customHeight="1" x14ac:dyDescent="0.25">
      <c r="D40" s="595" t="s">
        <v>664</v>
      </c>
      <c r="E40" s="611"/>
      <c r="F40" s="596"/>
      <c r="G40" s="324">
        <v>4800</v>
      </c>
      <c r="H40" s="340"/>
    </row>
    <row r="41" spans="4:8" s="337" customFormat="1" ht="19.149999999999999" customHeight="1" x14ac:dyDescent="0.25">
      <c r="D41" s="597" t="s">
        <v>628</v>
      </c>
      <c r="E41" s="612"/>
      <c r="F41" s="598"/>
      <c r="G41" s="324">
        <f>SUM(G38:G40)</f>
        <v>24300</v>
      </c>
      <c r="H41" s="340"/>
    </row>
    <row r="42" spans="4:8" s="312" customFormat="1" ht="10.15" customHeight="1" x14ac:dyDescent="0.2">
      <c r="H42" s="332"/>
    </row>
    <row r="43" spans="4:8" s="337" customFormat="1" ht="28.5" customHeight="1" x14ac:dyDescent="0.25">
      <c r="D43" s="613" t="s">
        <v>629</v>
      </c>
      <c r="E43" s="614"/>
      <c r="F43" s="327" t="s">
        <v>630</v>
      </c>
      <c r="G43" s="328" t="s">
        <v>631</v>
      </c>
      <c r="H43" s="344"/>
    </row>
    <row r="44" spans="4:8" s="337" customFormat="1" ht="30" customHeight="1" x14ac:dyDescent="0.25">
      <c r="D44" s="615" t="s">
        <v>659</v>
      </c>
      <c r="E44" s="616"/>
      <c r="F44" s="324">
        <v>6600</v>
      </c>
      <c r="G44" s="324">
        <v>0</v>
      </c>
      <c r="H44" s="340"/>
    </row>
    <row r="45" spans="4:8" s="337" customFormat="1" ht="30" customHeight="1" x14ac:dyDescent="0.25">
      <c r="D45" s="615" t="s">
        <v>660</v>
      </c>
      <c r="E45" s="616"/>
      <c r="F45" s="324">
        <v>0</v>
      </c>
      <c r="G45" s="324">
        <v>38400</v>
      </c>
      <c r="H45" s="340"/>
    </row>
    <row r="46" spans="4:8" s="337" customFormat="1" ht="30" customHeight="1" x14ac:dyDescent="0.25">
      <c r="D46" s="615" t="s">
        <v>662</v>
      </c>
      <c r="E46" s="616"/>
      <c r="F46" s="324">
        <v>0</v>
      </c>
      <c r="G46" s="324">
        <v>20000</v>
      </c>
      <c r="H46" s="340"/>
    </row>
    <row r="47" spans="4:8" s="337" customFormat="1" ht="19.149999999999999" customHeight="1" x14ac:dyDescent="0.25">
      <c r="D47" s="597" t="s">
        <v>632</v>
      </c>
      <c r="E47" s="598"/>
      <c r="F47" s="324">
        <f>SUM(F44:F46)</f>
        <v>6600</v>
      </c>
      <c r="G47" s="324">
        <f>SUM(G44:G46)</f>
        <v>58400</v>
      </c>
      <c r="H47" s="340"/>
    </row>
    <row r="48" spans="4:8" s="312" customFormat="1" ht="10.15" customHeight="1" x14ac:dyDescent="0.2">
      <c r="H48" s="332"/>
    </row>
    <row r="49" spans="4:8" s="337" customFormat="1" ht="21" customHeight="1" x14ac:dyDescent="0.25">
      <c r="D49" s="600" t="s">
        <v>633</v>
      </c>
      <c r="E49" s="601"/>
      <c r="F49" s="329" t="s">
        <v>630</v>
      </c>
      <c r="G49" s="327" t="s">
        <v>631</v>
      </c>
      <c r="H49" s="343"/>
    </row>
    <row r="50" spans="4:8" s="337" customFormat="1" ht="30" customHeight="1" x14ac:dyDescent="0.25">
      <c r="D50" s="615" t="s">
        <v>665</v>
      </c>
      <c r="E50" s="616"/>
      <c r="F50" s="324">
        <v>12000</v>
      </c>
      <c r="G50" s="324">
        <v>0</v>
      </c>
      <c r="H50" s="340"/>
    </row>
    <row r="51" spans="4:8" s="337" customFormat="1" ht="30" customHeight="1" x14ac:dyDescent="0.25">
      <c r="D51" s="615" t="s">
        <v>666</v>
      </c>
      <c r="E51" s="616"/>
      <c r="F51" s="324">
        <v>7500</v>
      </c>
      <c r="G51" s="324">
        <v>0</v>
      </c>
      <c r="H51" s="340"/>
    </row>
    <row r="52" spans="4:8" s="337" customFormat="1" ht="30" customHeight="1" x14ac:dyDescent="0.25">
      <c r="D52" s="595" t="s">
        <v>664</v>
      </c>
      <c r="E52" s="596"/>
      <c r="F52" s="324">
        <v>4800</v>
      </c>
      <c r="G52" s="324">
        <v>0</v>
      </c>
      <c r="H52" s="340"/>
    </row>
    <row r="53" spans="4:8" s="337" customFormat="1" ht="19.149999999999999" customHeight="1" x14ac:dyDescent="0.25">
      <c r="D53" s="597" t="s">
        <v>634</v>
      </c>
      <c r="E53" s="598"/>
      <c r="F53" s="324">
        <f>SUM(F50:F52)</f>
        <v>24300</v>
      </c>
      <c r="G53" s="324">
        <f>SUM(G50:G52)</f>
        <v>0</v>
      </c>
      <c r="H53" s="340"/>
    </row>
    <row r="55" spans="4:8" x14ac:dyDescent="0.3">
      <c r="D55" s="599"/>
      <c r="E55" s="599"/>
      <c r="F55" s="599"/>
      <c r="G55" s="599"/>
    </row>
  </sheetData>
  <mergeCells count="20">
    <mergeCell ref="D53:E53"/>
    <mergeCell ref="D55:G55"/>
    <mergeCell ref="D46:E46"/>
    <mergeCell ref="D47:E47"/>
    <mergeCell ref="D49:E49"/>
    <mergeCell ref="D50:E50"/>
    <mergeCell ref="D51:E51"/>
    <mergeCell ref="D52:E52"/>
    <mergeCell ref="D45:E45"/>
    <mergeCell ref="D1:G1"/>
    <mergeCell ref="D3:G3"/>
    <mergeCell ref="D4:G4"/>
    <mergeCell ref="E6:G6"/>
    <mergeCell ref="D37:F37"/>
    <mergeCell ref="D38:F38"/>
    <mergeCell ref="D39:F39"/>
    <mergeCell ref="D40:F40"/>
    <mergeCell ref="D41:F41"/>
    <mergeCell ref="D43:E43"/>
    <mergeCell ref="D44:E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2C17-5D2E-4A33-A725-B80A4167807E}">
  <sheetPr>
    <tabColor theme="7" tint="-0.249977111117893"/>
  </sheetPr>
  <dimension ref="A5:AU119"/>
  <sheetViews>
    <sheetView topLeftCell="D7" workbookViewId="0">
      <selection activeCell="D7" sqref="D1:F1048576"/>
    </sheetView>
  </sheetViews>
  <sheetFormatPr defaultColWidth="9.140625" defaultRowHeight="15" x14ac:dyDescent="0.25"/>
  <cols>
    <col min="1" max="1" width="44.7109375" style="23" hidden="1" customWidth="1"/>
    <col min="2" max="3" width="0" style="23" hidden="1" customWidth="1"/>
    <col min="4" max="6" width="9.140625" style="23"/>
    <col min="7" max="7" width="20.7109375" style="23" bestFit="1" customWidth="1"/>
    <col min="8" max="8" width="15.7109375" style="23" bestFit="1" customWidth="1"/>
    <col min="9" max="9" width="15.7109375" style="23" customWidth="1"/>
    <col min="10" max="10" width="20.5703125" style="23" bestFit="1" customWidth="1"/>
    <col min="11" max="11" width="12.5703125" style="23" bestFit="1" customWidth="1"/>
    <col min="12" max="12" width="9.140625" style="23"/>
    <col min="13" max="13" width="39" style="23" bestFit="1" customWidth="1"/>
    <col min="14" max="14" width="18.28515625" style="23" bestFit="1" customWidth="1"/>
    <col min="15" max="15" width="13.7109375" style="23" bestFit="1" customWidth="1"/>
    <col min="16" max="16" width="11.5703125" style="23" bestFit="1" customWidth="1"/>
    <col min="17" max="17" width="15" style="23" bestFit="1" customWidth="1"/>
    <col min="18" max="18" width="9.140625" style="23"/>
    <col min="19" max="19" width="23.28515625" style="23" bestFit="1" customWidth="1"/>
    <col min="20" max="20" width="9" style="23" bestFit="1" customWidth="1"/>
    <col min="21" max="21" width="11.5703125" style="23" bestFit="1" customWidth="1"/>
    <col min="22" max="22" width="9.140625" style="23"/>
    <col min="23" max="23" width="26.85546875" style="23" bestFit="1" customWidth="1"/>
    <col min="24" max="24" width="23.7109375" style="23" bestFit="1" customWidth="1"/>
    <col min="25" max="25" width="33.140625" style="23" bestFit="1" customWidth="1"/>
    <col min="26" max="26" width="96.42578125" style="23" bestFit="1" customWidth="1"/>
    <col min="27" max="27" width="10.5703125" style="23" bestFit="1" customWidth="1"/>
    <col min="28" max="28" width="13" style="23" bestFit="1" customWidth="1"/>
    <col min="29" max="29" width="24" style="23" bestFit="1" customWidth="1"/>
    <col min="30" max="30" width="12.5703125" style="23" bestFit="1" customWidth="1"/>
    <col min="31" max="31" width="9.140625" style="23"/>
    <col min="32" max="32" width="33.5703125" style="23" bestFit="1" customWidth="1"/>
    <col min="33" max="33" width="7.42578125" style="23" bestFit="1" customWidth="1"/>
    <col min="34" max="34" width="16.140625" style="23" bestFit="1" customWidth="1"/>
    <col min="35" max="35" width="10.5703125" style="23" bestFit="1" customWidth="1"/>
    <col min="36" max="36" width="15" style="23" bestFit="1" customWidth="1"/>
    <col min="37" max="37" width="9.140625" style="23"/>
    <col min="38" max="38" width="63.28515625" style="23" bestFit="1" customWidth="1"/>
    <col min="39" max="39" width="17.7109375" style="23" bestFit="1" customWidth="1"/>
    <col min="40" max="40" width="22.85546875" style="23" bestFit="1" customWidth="1"/>
    <col min="41" max="41" width="21.140625" style="23" bestFit="1" customWidth="1"/>
    <col min="42" max="42" width="31.28515625" style="23" bestFit="1" customWidth="1"/>
    <col min="43" max="43" width="15" style="23" bestFit="1" customWidth="1"/>
    <col min="44" max="44" width="9.140625" style="23"/>
    <col min="45" max="45" width="24.140625" style="23" bestFit="1" customWidth="1"/>
    <col min="46" max="46" width="73.140625" style="23" bestFit="1" customWidth="1"/>
    <col min="47" max="47" width="11.5703125" style="23" bestFit="1" customWidth="1"/>
    <col min="48" max="16384" width="9.140625" style="23"/>
  </cols>
  <sheetData>
    <row r="5" spans="1:47" x14ac:dyDescent="0.25">
      <c r="A5" s="24"/>
    </row>
    <row r="6" spans="1:47" x14ac:dyDescent="0.25">
      <c r="A6" s="24"/>
      <c r="G6" s="23" t="s">
        <v>144</v>
      </c>
      <c r="M6" s="23" t="s">
        <v>145</v>
      </c>
      <c r="S6" s="23" t="s">
        <v>146</v>
      </c>
      <c r="W6" s="23" t="s">
        <v>147</v>
      </c>
      <c r="AF6" s="23" t="s">
        <v>148</v>
      </c>
      <c r="AL6" s="23" t="s">
        <v>149</v>
      </c>
      <c r="AS6" s="23" t="s">
        <v>150</v>
      </c>
    </row>
    <row r="7" spans="1:47" ht="15.75" customHeight="1" x14ac:dyDescent="0.25">
      <c r="A7" s="25" t="s">
        <v>18</v>
      </c>
      <c r="G7" s="23" t="s">
        <v>151</v>
      </c>
      <c r="M7" s="23" t="s">
        <v>151</v>
      </c>
      <c r="S7" s="23" t="s">
        <v>152</v>
      </c>
      <c r="T7" s="23" t="s">
        <v>153</v>
      </c>
      <c r="W7" s="23" t="s">
        <v>151</v>
      </c>
      <c r="AF7" s="23" t="s">
        <v>154</v>
      </c>
      <c r="AL7" s="23" t="s">
        <v>151</v>
      </c>
      <c r="AS7" s="23" t="s">
        <v>151</v>
      </c>
    </row>
    <row r="8" spans="1:47" x14ac:dyDescent="0.25">
      <c r="A8" s="25" t="s">
        <v>19</v>
      </c>
      <c r="G8" s="23" t="s">
        <v>155</v>
      </c>
      <c r="H8" s="23" t="s">
        <v>156</v>
      </c>
      <c r="I8" s="23" t="s">
        <v>157</v>
      </c>
      <c r="J8" s="23" t="s">
        <v>158</v>
      </c>
      <c r="K8" s="23" t="s">
        <v>133</v>
      </c>
      <c r="M8" s="23" t="s">
        <v>159</v>
      </c>
      <c r="N8" s="23" t="s">
        <v>160</v>
      </c>
      <c r="O8" s="23" t="s">
        <v>161</v>
      </c>
      <c r="P8" s="23" t="s">
        <v>162</v>
      </c>
      <c r="Q8" s="23" t="s">
        <v>163</v>
      </c>
      <c r="U8" s="23">
        <f>Q13/12*9</f>
        <v>50249.215499999998</v>
      </c>
      <c r="W8" s="23" t="s">
        <v>164</v>
      </c>
      <c r="X8" s="23" t="s">
        <v>165</v>
      </c>
      <c r="Y8" s="23" t="s">
        <v>166</v>
      </c>
      <c r="Z8" s="23" t="s">
        <v>167</v>
      </c>
      <c r="AA8" s="23" t="s">
        <v>168</v>
      </c>
      <c r="AB8" s="23" t="s">
        <v>169</v>
      </c>
      <c r="AC8" s="23" t="s">
        <v>170</v>
      </c>
      <c r="AD8" s="23" t="s">
        <v>171</v>
      </c>
      <c r="AF8" s="23" t="s">
        <v>172</v>
      </c>
      <c r="AG8" s="23" t="s">
        <v>173</v>
      </c>
      <c r="AH8" s="23" t="s">
        <v>174</v>
      </c>
      <c r="AI8" s="23" t="s">
        <v>175</v>
      </c>
      <c r="AJ8" s="23" t="s">
        <v>163</v>
      </c>
      <c r="AL8" s="23" t="s">
        <v>176</v>
      </c>
      <c r="AM8" s="23" t="s">
        <v>177</v>
      </c>
      <c r="AN8" s="23" t="s">
        <v>178</v>
      </c>
      <c r="AO8" s="23" t="s">
        <v>179</v>
      </c>
      <c r="AP8" s="23" t="s">
        <v>180</v>
      </c>
      <c r="AQ8" s="23" t="s">
        <v>163</v>
      </c>
      <c r="AS8" s="23" t="s">
        <v>181</v>
      </c>
      <c r="AT8" s="23" t="s">
        <v>182</v>
      </c>
      <c r="AU8" s="23" t="s">
        <v>171</v>
      </c>
    </row>
    <row r="9" spans="1:47" x14ac:dyDescent="0.25">
      <c r="A9" s="25" t="s">
        <v>120</v>
      </c>
      <c r="G9" s="23" t="s">
        <v>134</v>
      </c>
      <c r="H9" s="23">
        <v>66998.953999999998</v>
      </c>
      <c r="I9" s="23">
        <f t="shared" ref="I9:I19" si="0">H9/12*9</f>
        <v>50249.215499999998</v>
      </c>
      <c r="J9" s="23">
        <v>14560</v>
      </c>
      <c r="K9" s="23">
        <v>81558.953999999998</v>
      </c>
      <c r="M9" s="23" t="s">
        <v>183</v>
      </c>
      <c r="N9" s="23">
        <v>73158.070000000007</v>
      </c>
      <c r="O9" s="23">
        <v>0.2</v>
      </c>
      <c r="P9" s="23" t="s">
        <v>184</v>
      </c>
      <c r="Q9" s="23">
        <v>14631.614000000001</v>
      </c>
      <c r="S9" s="23" t="s">
        <v>185</v>
      </c>
      <c r="T9" s="23">
        <v>0.03</v>
      </c>
      <c r="U9" s="158">
        <f>T9*U8</f>
        <v>1507.476465</v>
      </c>
      <c r="W9" s="23" t="s">
        <v>186</v>
      </c>
      <c r="X9" s="23" t="s">
        <v>187</v>
      </c>
      <c r="Y9" s="23" t="s">
        <v>188</v>
      </c>
      <c r="Z9" s="23" t="s">
        <v>189</v>
      </c>
      <c r="AA9" s="23">
        <v>40</v>
      </c>
      <c r="AB9" s="23">
        <v>60</v>
      </c>
      <c r="AC9" s="23" t="s">
        <v>190</v>
      </c>
      <c r="AD9" s="23">
        <v>2400</v>
      </c>
      <c r="AF9" s="23" t="s">
        <v>191</v>
      </c>
      <c r="AG9" s="23" t="s">
        <v>192</v>
      </c>
      <c r="AH9" s="23">
        <v>12</v>
      </c>
      <c r="AI9" s="23">
        <v>250</v>
      </c>
      <c r="AJ9" s="23">
        <v>3000</v>
      </c>
      <c r="AL9" s="23" t="s">
        <v>193</v>
      </c>
      <c r="AM9" s="23">
        <v>1</v>
      </c>
      <c r="AN9" s="23">
        <v>24</v>
      </c>
      <c r="AO9" s="23">
        <v>10</v>
      </c>
      <c r="AP9" s="23">
        <v>0.38</v>
      </c>
      <c r="AQ9" s="23">
        <v>91.199999999999989</v>
      </c>
      <c r="AS9" s="23" t="s">
        <v>194</v>
      </c>
      <c r="AT9" s="23" t="s">
        <v>195</v>
      </c>
      <c r="AU9" s="23">
        <v>11308.04</v>
      </c>
    </row>
    <row r="10" spans="1:47" x14ac:dyDescent="0.25">
      <c r="A10" s="25" t="s">
        <v>121</v>
      </c>
      <c r="G10" s="23" t="s">
        <v>196</v>
      </c>
      <c r="H10" s="23">
        <v>15443.258897</v>
      </c>
      <c r="I10" s="23">
        <f t="shared" si="0"/>
        <v>11582.44417275</v>
      </c>
      <c r="J10" s="23">
        <v>3356.08</v>
      </c>
      <c r="K10" s="23">
        <v>18799.338897000001</v>
      </c>
      <c r="M10" s="23" t="s">
        <v>197</v>
      </c>
      <c r="N10" s="23">
        <v>50000</v>
      </c>
      <c r="O10" s="23">
        <v>0.7</v>
      </c>
      <c r="P10" s="23" t="s">
        <v>184</v>
      </c>
      <c r="Q10" s="23">
        <v>35000</v>
      </c>
      <c r="S10" s="23" t="s">
        <v>198</v>
      </c>
      <c r="T10" s="23">
        <v>7.6499999999999999E-2</v>
      </c>
      <c r="U10" s="158">
        <f>T10*U8</f>
        <v>3844.0649857499998</v>
      </c>
      <c r="W10" s="23" t="s">
        <v>199</v>
      </c>
      <c r="X10" s="23" t="s">
        <v>200</v>
      </c>
      <c r="Y10" s="23" t="s">
        <v>201</v>
      </c>
      <c r="Z10" s="23" t="s">
        <v>202</v>
      </c>
      <c r="AA10" s="23">
        <v>12</v>
      </c>
      <c r="AB10" s="23">
        <v>465</v>
      </c>
      <c r="AC10" s="23">
        <v>0.15</v>
      </c>
      <c r="AD10" s="23">
        <v>837</v>
      </c>
      <c r="AF10" s="23" t="s">
        <v>203</v>
      </c>
      <c r="AG10" s="23" t="s">
        <v>204</v>
      </c>
      <c r="AH10" s="23">
        <v>0.55000000000000004</v>
      </c>
      <c r="AI10" s="23">
        <v>100</v>
      </c>
      <c r="AJ10" s="23">
        <v>55.000000000000007</v>
      </c>
      <c r="AP10" s="23" t="s">
        <v>133</v>
      </c>
      <c r="AQ10" s="23">
        <v>91.199999999999989</v>
      </c>
      <c r="AS10" s="23" t="s">
        <v>205</v>
      </c>
      <c r="AT10" s="23" t="s">
        <v>206</v>
      </c>
      <c r="AU10" s="23">
        <v>270</v>
      </c>
    </row>
    <row r="11" spans="1:47" x14ac:dyDescent="0.25">
      <c r="A11" s="25" t="s">
        <v>20</v>
      </c>
      <c r="G11" s="23" t="s">
        <v>207</v>
      </c>
      <c r="H11" s="23">
        <v>12583.95</v>
      </c>
      <c r="I11" s="23">
        <f t="shared" si="0"/>
        <v>9437.9625000000015</v>
      </c>
      <c r="J11" s="23">
        <v>165286.42199999996</v>
      </c>
      <c r="K11" s="23">
        <v>177870.37199999997</v>
      </c>
      <c r="M11" s="23" t="s">
        <v>208</v>
      </c>
      <c r="N11" s="23">
        <v>38192.400000000001</v>
      </c>
      <c r="O11" s="23">
        <v>0.35</v>
      </c>
      <c r="P11" s="23" t="s">
        <v>184</v>
      </c>
      <c r="Q11" s="23">
        <v>13367.34</v>
      </c>
      <c r="S11" s="23" t="s">
        <v>209</v>
      </c>
      <c r="T11" s="23">
        <v>0.01</v>
      </c>
      <c r="U11" s="157">
        <f>T11*U8</f>
        <v>502.49215499999997</v>
      </c>
      <c r="W11" s="23" t="s">
        <v>210</v>
      </c>
      <c r="X11" s="23" t="s">
        <v>211</v>
      </c>
      <c r="Y11" s="23" t="s">
        <v>212</v>
      </c>
      <c r="Z11" s="23" t="s">
        <v>213</v>
      </c>
      <c r="AA11" s="23">
        <v>1</v>
      </c>
      <c r="AB11" s="23">
        <v>8500</v>
      </c>
      <c r="AC11" s="23">
        <v>0.15</v>
      </c>
      <c r="AD11" s="23">
        <v>1275</v>
      </c>
      <c r="AF11" s="23" t="s">
        <v>214</v>
      </c>
      <c r="AG11" s="23" t="s">
        <v>215</v>
      </c>
      <c r="AH11" s="23">
        <v>2090</v>
      </c>
      <c r="AI11" s="23">
        <v>0.05</v>
      </c>
      <c r="AJ11" s="23">
        <v>104.5</v>
      </c>
      <c r="AL11" s="23" t="s">
        <v>216</v>
      </c>
      <c r="AM11" s="23" t="s">
        <v>177</v>
      </c>
      <c r="AN11" s="23" t="s">
        <v>217</v>
      </c>
      <c r="AO11" s="23" t="s">
        <v>175</v>
      </c>
      <c r="AQ11" s="23" t="s">
        <v>163</v>
      </c>
      <c r="AS11" s="23" t="s">
        <v>218</v>
      </c>
      <c r="AT11" s="23" t="s">
        <v>219</v>
      </c>
      <c r="AU11" s="23">
        <v>304.2</v>
      </c>
    </row>
    <row r="12" spans="1:47" x14ac:dyDescent="0.25">
      <c r="A12" s="25" t="s">
        <v>21</v>
      </c>
      <c r="G12" s="23" t="s">
        <v>139</v>
      </c>
      <c r="H12" s="23">
        <v>0</v>
      </c>
      <c r="I12" s="23">
        <f t="shared" si="0"/>
        <v>0</v>
      </c>
      <c r="J12" s="23">
        <v>0</v>
      </c>
      <c r="K12" s="23">
        <v>0</v>
      </c>
      <c r="M12" s="23" t="s">
        <v>220</v>
      </c>
      <c r="N12" s="23">
        <v>40000</v>
      </c>
      <c r="O12" s="23">
        <v>0.1</v>
      </c>
      <c r="P12" s="23" t="s">
        <v>184</v>
      </c>
      <c r="Q12" s="23">
        <v>4000</v>
      </c>
      <c r="S12" s="23" t="s">
        <v>221</v>
      </c>
      <c r="T12" s="23">
        <v>1.4999999999999999E-2</v>
      </c>
      <c r="U12" s="158">
        <f>T12*U8</f>
        <v>753.73823249999998</v>
      </c>
      <c r="W12" s="23" t="s">
        <v>192</v>
      </c>
      <c r="X12" s="23" t="s">
        <v>222</v>
      </c>
      <c r="Y12" s="23" t="s">
        <v>223</v>
      </c>
      <c r="Z12" s="23" t="s">
        <v>224</v>
      </c>
      <c r="AA12" s="23">
        <v>1</v>
      </c>
      <c r="AB12" s="23">
        <v>3813</v>
      </c>
      <c r="AC12" s="23">
        <v>0.15</v>
      </c>
      <c r="AD12" s="23">
        <v>571.94999999999993</v>
      </c>
      <c r="AG12" s="23" t="s">
        <v>225</v>
      </c>
      <c r="AH12" s="23">
        <v>492</v>
      </c>
      <c r="AI12" s="23">
        <v>0.25</v>
      </c>
      <c r="AJ12" s="23">
        <v>123</v>
      </c>
      <c r="AL12" s="23" t="s">
        <v>226</v>
      </c>
      <c r="AS12" s="23" t="s">
        <v>227</v>
      </c>
      <c r="AT12" s="23" t="s">
        <v>228</v>
      </c>
      <c r="AU12" s="23">
        <v>360</v>
      </c>
    </row>
    <row r="13" spans="1:47" x14ac:dyDescent="0.25">
      <c r="A13" s="25" t="s">
        <v>22</v>
      </c>
      <c r="G13" s="23" t="s">
        <v>140</v>
      </c>
      <c r="H13" s="23">
        <f>11503.5-0.1</f>
        <v>11503.4</v>
      </c>
      <c r="I13" s="23">
        <f t="shared" si="0"/>
        <v>8627.5499999999993</v>
      </c>
      <c r="J13" s="23">
        <v>444</v>
      </c>
      <c r="K13" s="23">
        <v>11947.5</v>
      </c>
      <c r="O13" s="23" t="s">
        <v>16</v>
      </c>
      <c r="Q13" s="23">
        <v>66998.953999999998</v>
      </c>
      <c r="S13" s="23" t="s">
        <v>229</v>
      </c>
      <c r="T13" s="23">
        <v>0.04</v>
      </c>
      <c r="U13" s="158">
        <f>T13*U8</f>
        <v>2009.9686199999999</v>
      </c>
      <c r="W13" s="23" t="s">
        <v>192</v>
      </c>
      <c r="X13" s="23" t="s">
        <v>230</v>
      </c>
      <c r="Y13" s="23" t="s">
        <v>231</v>
      </c>
      <c r="Z13" s="23" t="s">
        <v>232</v>
      </c>
      <c r="AA13" s="23">
        <v>9</v>
      </c>
      <c r="AB13" s="23">
        <v>500</v>
      </c>
      <c r="AC13" s="23" t="s">
        <v>233</v>
      </c>
      <c r="AD13" s="23">
        <v>4500</v>
      </c>
      <c r="AF13" s="23" t="s">
        <v>234</v>
      </c>
      <c r="AG13" s="23" t="s">
        <v>192</v>
      </c>
      <c r="AH13" s="23">
        <v>3</v>
      </c>
      <c r="AI13" s="23">
        <v>1300</v>
      </c>
      <c r="AJ13" s="23">
        <v>3900</v>
      </c>
      <c r="AL13" s="23" t="s">
        <v>235</v>
      </c>
      <c r="AM13" s="23">
        <v>3</v>
      </c>
      <c r="AN13" s="23">
        <v>3</v>
      </c>
      <c r="AO13" s="23">
        <v>76</v>
      </c>
      <c r="AP13" s="23" t="s">
        <v>236</v>
      </c>
      <c r="AQ13" s="23">
        <v>684</v>
      </c>
      <c r="AS13" s="23" t="s">
        <v>237</v>
      </c>
      <c r="AT13" s="23" t="s">
        <v>238</v>
      </c>
      <c r="AU13" s="23">
        <v>500</v>
      </c>
    </row>
    <row r="14" spans="1:47" x14ac:dyDescent="0.25">
      <c r="A14" s="25" t="s">
        <v>23</v>
      </c>
      <c r="G14" s="23" t="s">
        <v>239</v>
      </c>
      <c r="H14" s="23">
        <v>5728.2</v>
      </c>
      <c r="I14" s="23">
        <f t="shared" si="0"/>
        <v>4296.1499999999996</v>
      </c>
      <c r="J14" s="23">
        <v>763.52</v>
      </c>
      <c r="K14" s="23">
        <v>6491.7199999999993</v>
      </c>
      <c r="S14" s="23" t="s">
        <v>240</v>
      </c>
      <c r="T14" s="23">
        <v>0.04</v>
      </c>
      <c r="U14" s="158">
        <f>T14*U8</f>
        <v>2009.9686199999999</v>
      </c>
      <c r="W14" s="23" t="s">
        <v>192</v>
      </c>
      <c r="X14" s="23" t="s">
        <v>241</v>
      </c>
      <c r="Y14" s="23" t="s">
        <v>231</v>
      </c>
      <c r="Z14" s="23" t="s">
        <v>242</v>
      </c>
      <c r="AA14" s="23">
        <v>12</v>
      </c>
      <c r="AB14" s="23">
        <v>250</v>
      </c>
      <c r="AC14" s="23" t="s">
        <v>243</v>
      </c>
      <c r="AD14" s="23">
        <v>3000</v>
      </c>
      <c r="AF14" s="23" t="s">
        <v>244</v>
      </c>
      <c r="AG14" s="23" t="s">
        <v>192</v>
      </c>
      <c r="AH14" s="23">
        <v>12</v>
      </c>
      <c r="AI14" s="23">
        <v>360</v>
      </c>
      <c r="AJ14" s="23">
        <v>4321</v>
      </c>
      <c r="AL14" s="23" t="s">
        <v>245</v>
      </c>
      <c r="AM14" s="23">
        <v>3</v>
      </c>
      <c r="AN14" s="23">
        <v>2</v>
      </c>
      <c r="AO14" s="23">
        <v>57</v>
      </c>
      <c r="AP14" s="23" t="s">
        <v>236</v>
      </c>
      <c r="AQ14" s="23">
        <v>342</v>
      </c>
    </row>
    <row r="15" spans="1:47" x14ac:dyDescent="0.25">
      <c r="A15" s="25" t="s">
        <v>24</v>
      </c>
      <c r="G15" s="23" t="s">
        <v>246</v>
      </c>
      <c r="H15" s="23">
        <v>0</v>
      </c>
      <c r="I15" s="23">
        <f t="shared" si="0"/>
        <v>0</v>
      </c>
      <c r="J15" s="23">
        <v>0</v>
      </c>
      <c r="K15" s="23">
        <v>0</v>
      </c>
      <c r="S15" s="23" t="s">
        <v>247</v>
      </c>
      <c r="T15" s="23">
        <v>0.04</v>
      </c>
      <c r="U15" s="158">
        <f>T15*U8</f>
        <v>2009.9686199999999</v>
      </c>
      <c r="AI15" s="23" t="s">
        <v>16</v>
      </c>
      <c r="AJ15" s="23">
        <v>11503.5</v>
      </c>
      <c r="AL15" s="23" t="s">
        <v>248</v>
      </c>
      <c r="AM15" s="23">
        <v>3</v>
      </c>
      <c r="AN15" s="23">
        <v>4</v>
      </c>
      <c r="AO15" s="23">
        <v>188</v>
      </c>
      <c r="AP15" s="23" t="s">
        <v>249</v>
      </c>
      <c r="AQ15" s="23">
        <v>2256</v>
      </c>
      <c r="AT15" s="23" t="s">
        <v>16</v>
      </c>
      <c r="AU15" s="23">
        <v>12742.240000000002</v>
      </c>
    </row>
    <row r="16" spans="1:47" x14ac:dyDescent="0.25">
      <c r="A16" s="25" t="s">
        <v>25</v>
      </c>
      <c r="G16" s="23" t="s">
        <v>250</v>
      </c>
      <c r="H16" s="23">
        <v>12742.240000000002</v>
      </c>
      <c r="I16" s="23">
        <f t="shared" si="0"/>
        <v>9556.68</v>
      </c>
      <c r="J16" s="23">
        <v>3089.5</v>
      </c>
      <c r="K16" s="23">
        <v>15831.740000000002</v>
      </c>
      <c r="AC16" s="23" t="s">
        <v>16</v>
      </c>
      <c r="AD16" s="23">
        <v>12583.95</v>
      </c>
      <c r="AL16" s="23" t="s">
        <v>251</v>
      </c>
      <c r="AM16" s="23">
        <v>3</v>
      </c>
      <c r="AN16" s="23">
        <v>1</v>
      </c>
      <c r="AO16" s="23">
        <v>425</v>
      </c>
      <c r="AP16" s="23" t="s">
        <v>252</v>
      </c>
      <c r="AQ16" s="23">
        <v>1275</v>
      </c>
    </row>
    <row r="17" spans="1:47" x14ac:dyDescent="0.25">
      <c r="A17" s="25" t="s">
        <v>26</v>
      </c>
      <c r="G17" s="23" t="s">
        <v>253</v>
      </c>
      <c r="H17" s="23">
        <f>125000</f>
        <v>125000</v>
      </c>
      <c r="I17" s="23">
        <f t="shared" si="0"/>
        <v>93750</v>
      </c>
      <c r="J17" s="23">
        <v>187499.52199999997</v>
      </c>
      <c r="K17" s="23">
        <v>312499.62489699991</v>
      </c>
      <c r="AL17" s="23" t="s">
        <v>254</v>
      </c>
      <c r="AM17" s="23">
        <v>3</v>
      </c>
      <c r="AN17" s="23">
        <v>1</v>
      </c>
      <c r="AO17" s="23">
        <v>360</v>
      </c>
      <c r="AP17" s="23" t="s">
        <v>255</v>
      </c>
      <c r="AQ17" s="23">
        <v>1080</v>
      </c>
    </row>
    <row r="18" spans="1:47" x14ac:dyDescent="0.25">
      <c r="A18" s="25" t="s">
        <v>27</v>
      </c>
      <c r="G18" s="23" t="s">
        <v>256</v>
      </c>
      <c r="H18" s="23">
        <v>0</v>
      </c>
      <c r="I18" s="23">
        <f t="shared" si="0"/>
        <v>0</v>
      </c>
      <c r="J18" s="23">
        <v>0</v>
      </c>
      <c r="K18" s="23">
        <v>0</v>
      </c>
      <c r="S18" s="23" t="s">
        <v>257</v>
      </c>
      <c r="T18" s="23">
        <f>SUM(T9:T17)</f>
        <v>0.2515</v>
      </c>
      <c r="U18" s="23">
        <f>SUM(U9:U17)</f>
        <v>12637.67769825</v>
      </c>
      <c r="AP18" s="23" t="s">
        <v>258</v>
      </c>
      <c r="AQ18" s="23">
        <v>5637</v>
      </c>
    </row>
    <row r="19" spans="1:47" x14ac:dyDescent="0.25">
      <c r="A19" s="25" t="s">
        <v>28</v>
      </c>
      <c r="G19" s="23" t="s">
        <v>259</v>
      </c>
      <c r="H19" s="23">
        <v>125000.10289699999</v>
      </c>
      <c r="I19" s="23">
        <f t="shared" si="0"/>
        <v>93750.077172749996</v>
      </c>
      <c r="J19" s="23">
        <v>187500</v>
      </c>
      <c r="K19" s="23">
        <v>312500.10289699998</v>
      </c>
      <c r="AP19" s="23" t="s">
        <v>260</v>
      </c>
      <c r="AQ19" s="23">
        <v>5728.2</v>
      </c>
    </row>
    <row r="20" spans="1:47" x14ac:dyDescent="0.25">
      <c r="A20" s="25" t="s">
        <v>122</v>
      </c>
    </row>
    <row r="21" spans="1:47" x14ac:dyDescent="0.25">
      <c r="A21" s="25" t="s">
        <v>29</v>
      </c>
      <c r="G21" s="23" t="s">
        <v>261</v>
      </c>
      <c r="M21" s="23" t="s">
        <v>261</v>
      </c>
      <c r="W21" s="23" t="s">
        <v>262</v>
      </c>
      <c r="AF21" s="23" t="s">
        <v>261</v>
      </c>
      <c r="AL21" s="23" t="s">
        <v>261</v>
      </c>
      <c r="AS21" s="23" t="s">
        <v>261</v>
      </c>
    </row>
    <row r="22" spans="1:47" x14ac:dyDescent="0.25">
      <c r="A22" s="25" t="s">
        <v>30</v>
      </c>
      <c r="G22" s="23" t="s">
        <v>155</v>
      </c>
      <c r="H22" s="23" t="s">
        <v>263</v>
      </c>
      <c r="J22" s="23" t="s">
        <v>264</v>
      </c>
      <c r="K22" s="23" t="s">
        <v>257</v>
      </c>
      <c r="M22" s="23" t="s">
        <v>265</v>
      </c>
      <c r="N22" s="23" t="s">
        <v>160</v>
      </c>
      <c r="O22" s="23" t="s">
        <v>161</v>
      </c>
      <c r="P22" s="23" t="s">
        <v>162</v>
      </c>
      <c r="Q22" s="23" t="s">
        <v>163</v>
      </c>
      <c r="W22" s="23" t="s">
        <v>164</v>
      </c>
      <c r="X22" s="23" t="s">
        <v>165</v>
      </c>
      <c r="Y22" s="23" t="s">
        <v>166</v>
      </c>
      <c r="Z22" s="23" t="s">
        <v>167</v>
      </c>
      <c r="AA22" s="23" t="s">
        <v>266</v>
      </c>
      <c r="AB22" s="23" t="s">
        <v>169</v>
      </c>
      <c r="AC22" s="23" t="s">
        <v>170</v>
      </c>
      <c r="AD22" s="23" t="s">
        <v>267</v>
      </c>
      <c r="AF22" s="23" t="s">
        <v>172</v>
      </c>
      <c r="AG22" s="23" t="s">
        <v>173</v>
      </c>
      <c r="AH22" s="23" t="s">
        <v>174</v>
      </c>
      <c r="AI22" s="23" t="s">
        <v>175</v>
      </c>
      <c r="AJ22" s="23" t="s">
        <v>268</v>
      </c>
      <c r="AP22" s="23" t="s">
        <v>133</v>
      </c>
      <c r="AQ22" s="23">
        <v>0</v>
      </c>
      <c r="AS22" s="23" t="s">
        <v>181</v>
      </c>
      <c r="AT22" s="23" t="s">
        <v>182</v>
      </c>
      <c r="AU22" s="23" t="s">
        <v>171</v>
      </c>
    </row>
    <row r="23" spans="1:47" x14ac:dyDescent="0.25">
      <c r="A23" s="25" t="s">
        <v>31</v>
      </c>
      <c r="G23" s="23" t="s">
        <v>269</v>
      </c>
      <c r="H23" s="23">
        <v>0</v>
      </c>
      <c r="J23" s="23">
        <v>14560</v>
      </c>
      <c r="K23" s="23">
        <v>14560</v>
      </c>
      <c r="M23" s="23" t="s">
        <v>270</v>
      </c>
      <c r="N23" s="23">
        <v>58240</v>
      </c>
      <c r="O23" s="23">
        <v>0.25</v>
      </c>
      <c r="P23" s="23">
        <v>12</v>
      </c>
      <c r="Q23" s="23">
        <v>14560</v>
      </c>
      <c r="W23" s="23" t="s">
        <v>192</v>
      </c>
      <c r="X23" s="23" t="s">
        <v>192</v>
      </c>
      <c r="Y23" s="23" t="s">
        <v>271</v>
      </c>
      <c r="Z23" s="23" t="s">
        <v>272</v>
      </c>
      <c r="AA23" s="23">
        <v>690</v>
      </c>
      <c r="AB23" s="23">
        <v>24.69</v>
      </c>
      <c r="AC23" s="23" t="s">
        <v>273</v>
      </c>
      <c r="AD23" s="23">
        <v>17036.100000000002</v>
      </c>
      <c r="AF23" s="23" t="s">
        <v>141</v>
      </c>
      <c r="AG23" s="23" t="s">
        <v>192</v>
      </c>
      <c r="AH23" s="23">
        <v>1</v>
      </c>
      <c r="AI23" s="23">
        <v>444</v>
      </c>
      <c r="AJ23" s="23">
        <v>444</v>
      </c>
      <c r="AL23" s="23" t="s">
        <v>216</v>
      </c>
      <c r="AM23" s="23" t="s">
        <v>177</v>
      </c>
      <c r="AN23" s="23" t="s">
        <v>217</v>
      </c>
      <c r="AO23" s="23" t="s">
        <v>175</v>
      </c>
      <c r="AQ23" s="23" t="s">
        <v>268</v>
      </c>
      <c r="AS23" s="23" t="s">
        <v>274</v>
      </c>
      <c r="AT23" s="23" t="s">
        <v>275</v>
      </c>
      <c r="AU23" s="23">
        <v>3089.5</v>
      </c>
    </row>
    <row r="24" spans="1:47" x14ac:dyDescent="0.25">
      <c r="A24" s="25" t="s">
        <v>32</v>
      </c>
      <c r="G24" s="23" t="s">
        <v>276</v>
      </c>
      <c r="H24" s="23">
        <v>0</v>
      </c>
      <c r="J24" s="23">
        <v>3356.08</v>
      </c>
      <c r="K24" s="23">
        <v>3356.08</v>
      </c>
      <c r="O24" s="23" t="s">
        <v>16</v>
      </c>
      <c r="Q24" s="23">
        <v>14560</v>
      </c>
      <c r="W24" s="23" t="s">
        <v>192</v>
      </c>
      <c r="X24" s="23" t="s">
        <v>192</v>
      </c>
      <c r="Z24" s="23" t="s">
        <v>277</v>
      </c>
      <c r="AA24" s="23">
        <v>195</v>
      </c>
      <c r="AB24" s="23">
        <v>24.69</v>
      </c>
      <c r="AC24" s="23" t="s">
        <v>273</v>
      </c>
      <c r="AD24" s="23">
        <v>4814.55</v>
      </c>
      <c r="AI24" s="23" t="s">
        <v>16</v>
      </c>
      <c r="AJ24" s="23">
        <v>444</v>
      </c>
      <c r="AL24" s="23" t="s">
        <v>278</v>
      </c>
      <c r="AN24" s="23">
        <v>24</v>
      </c>
      <c r="AO24" s="23">
        <v>0.48</v>
      </c>
      <c r="AP24" s="23">
        <v>11.52</v>
      </c>
      <c r="AQ24" s="23">
        <v>11.52</v>
      </c>
      <c r="AT24" s="23" t="s">
        <v>16</v>
      </c>
      <c r="AU24" s="23">
        <v>3089.5</v>
      </c>
    </row>
    <row r="25" spans="1:47" x14ac:dyDescent="0.25">
      <c r="A25" s="25" t="s">
        <v>33</v>
      </c>
      <c r="G25" s="23" t="s">
        <v>207</v>
      </c>
      <c r="H25" s="23">
        <v>126597.19199999998</v>
      </c>
      <c r="J25" s="23">
        <v>38689.229999999996</v>
      </c>
      <c r="K25" s="23">
        <v>165286.42199999996</v>
      </c>
      <c r="W25" s="23" t="s">
        <v>192</v>
      </c>
      <c r="X25" s="23" t="s">
        <v>192</v>
      </c>
      <c r="Z25" s="23" t="s">
        <v>279</v>
      </c>
      <c r="AA25" s="23">
        <v>120</v>
      </c>
      <c r="AB25" s="23">
        <v>24.69</v>
      </c>
      <c r="AC25" s="23" t="s">
        <v>273</v>
      </c>
      <c r="AD25" s="23">
        <v>2962.8</v>
      </c>
      <c r="AL25" s="23" t="s">
        <v>280</v>
      </c>
      <c r="AM25" s="23">
        <v>1</v>
      </c>
      <c r="AN25" s="23">
        <v>4</v>
      </c>
      <c r="AO25" s="23">
        <v>188</v>
      </c>
      <c r="AP25" s="23">
        <v>752</v>
      </c>
      <c r="AQ25" s="23">
        <v>752</v>
      </c>
    </row>
    <row r="26" spans="1:47" x14ac:dyDescent="0.25">
      <c r="A26" s="25" t="s">
        <v>34</v>
      </c>
      <c r="G26" s="23" t="s">
        <v>140</v>
      </c>
      <c r="J26" s="23">
        <v>444</v>
      </c>
      <c r="M26" s="23" t="s">
        <v>281</v>
      </c>
      <c r="P26" s="23">
        <v>14560</v>
      </c>
      <c r="W26" s="23" t="s">
        <v>192</v>
      </c>
      <c r="X26" s="23" t="s">
        <v>192</v>
      </c>
      <c r="Z26" s="23" t="s">
        <v>282</v>
      </c>
      <c r="AA26" s="23">
        <v>132</v>
      </c>
      <c r="AB26" s="23">
        <v>24.69</v>
      </c>
      <c r="AC26" s="23" t="s">
        <v>273</v>
      </c>
      <c r="AD26" s="23">
        <v>3259.0800000000004</v>
      </c>
      <c r="AF26" s="23" t="s">
        <v>281</v>
      </c>
      <c r="AI26" s="23">
        <v>444</v>
      </c>
      <c r="AS26" s="23" t="s">
        <v>281</v>
      </c>
      <c r="AU26" s="23">
        <v>3089.5</v>
      </c>
    </row>
    <row r="27" spans="1:47" x14ac:dyDescent="0.25">
      <c r="A27" s="25" t="s">
        <v>35</v>
      </c>
      <c r="G27" s="23" t="s">
        <v>283</v>
      </c>
      <c r="H27" s="23">
        <v>0</v>
      </c>
      <c r="J27" s="23">
        <v>763.52</v>
      </c>
      <c r="K27" s="23">
        <v>763.52</v>
      </c>
      <c r="M27" s="23" t="s">
        <v>284</v>
      </c>
      <c r="P27" s="23">
        <v>0</v>
      </c>
      <c r="Z27" s="23" t="s">
        <v>285</v>
      </c>
      <c r="AA27" s="23">
        <v>250</v>
      </c>
      <c r="AB27" s="23">
        <v>24.69</v>
      </c>
      <c r="AC27" s="23" t="s">
        <v>273</v>
      </c>
      <c r="AD27" s="23">
        <v>6172.5</v>
      </c>
      <c r="AF27" s="23" t="s">
        <v>284</v>
      </c>
      <c r="AI27" s="23">
        <v>0</v>
      </c>
      <c r="AO27" s="23" t="s">
        <v>286</v>
      </c>
      <c r="AQ27" s="23">
        <v>763.52</v>
      </c>
      <c r="AS27" s="23" t="s">
        <v>284</v>
      </c>
      <c r="AU27" s="23">
        <v>0</v>
      </c>
    </row>
    <row r="28" spans="1:47" x14ac:dyDescent="0.25">
      <c r="A28" s="25" t="s">
        <v>36</v>
      </c>
      <c r="G28" s="23" t="s">
        <v>250</v>
      </c>
      <c r="J28" s="23">
        <v>3089.5</v>
      </c>
      <c r="K28" s="23">
        <v>3089.5</v>
      </c>
      <c r="M28" s="23" t="s">
        <v>287</v>
      </c>
      <c r="P28" s="23">
        <v>14560</v>
      </c>
      <c r="W28" s="23" t="s">
        <v>192</v>
      </c>
      <c r="X28" s="23" t="s">
        <v>192</v>
      </c>
      <c r="Z28" s="23" t="s">
        <v>288</v>
      </c>
      <c r="AA28" s="23">
        <v>180</v>
      </c>
      <c r="AB28" s="23">
        <v>24.69</v>
      </c>
      <c r="AC28" s="23" t="s">
        <v>273</v>
      </c>
      <c r="AD28" s="23">
        <v>4444.2</v>
      </c>
      <c r="AF28" s="23" t="s">
        <v>287</v>
      </c>
      <c r="AI28" s="23">
        <v>444</v>
      </c>
      <c r="AS28" s="23" t="s">
        <v>287</v>
      </c>
      <c r="AU28" s="23">
        <v>3089.5</v>
      </c>
    </row>
    <row r="29" spans="1:47" x14ac:dyDescent="0.25">
      <c r="A29" s="25" t="s">
        <v>37</v>
      </c>
      <c r="H29" s="23">
        <v>126597.19199999998</v>
      </c>
      <c r="J29" s="23">
        <v>60902.329999999994</v>
      </c>
      <c r="K29" s="23">
        <v>187499.52199999997</v>
      </c>
      <c r="W29" s="23" t="s">
        <v>192</v>
      </c>
      <c r="X29" s="23" t="s">
        <v>192</v>
      </c>
      <c r="Y29" s="23" t="s">
        <v>289</v>
      </c>
      <c r="Z29" s="23" t="s">
        <v>290</v>
      </c>
      <c r="AA29" s="23">
        <v>1640</v>
      </c>
      <c r="AB29" s="23">
        <v>24.69</v>
      </c>
      <c r="AC29" s="23" t="s">
        <v>291</v>
      </c>
      <c r="AD29" s="23">
        <v>40491.599999999999</v>
      </c>
      <c r="AL29" s="23" t="s">
        <v>281</v>
      </c>
      <c r="AO29" s="23">
        <v>763.52</v>
      </c>
    </row>
    <row r="30" spans="1:47" x14ac:dyDescent="0.25">
      <c r="A30" s="25" t="s">
        <v>38</v>
      </c>
      <c r="W30" s="23" t="s">
        <v>292</v>
      </c>
      <c r="X30" s="23" t="s">
        <v>293</v>
      </c>
      <c r="Y30" s="23" t="s">
        <v>294</v>
      </c>
      <c r="Z30" s="23" t="s">
        <v>295</v>
      </c>
      <c r="AA30" s="23">
        <v>7500</v>
      </c>
      <c r="AB30" s="23">
        <v>0.5</v>
      </c>
      <c r="AC30" s="23" t="s">
        <v>296</v>
      </c>
      <c r="AD30" s="23">
        <v>3750</v>
      </c>
      <c r="AL30" s="23" t="s">
        <v>284</v>
      </c>
      <c r="AO30" s="23">
        <v>0</v>
      </c>
    </row>
    <row r="31" spans="1:47" x14ac:dyDescent="0.25">
      <c r="A31" s="25" t="s">
        <v>39</v>
      </c>
      <c r="W31" s="23" t="s">
        <v>297</v>
      </c>
      <c r="X31" s="23" t="s">
        <v>298</v>
      </c>
      <c r="Y31" s="23" t="s">
        <v>299</v>
      </c>
      <c r="Z31" s="23" t="s">
        <v>300</v>
      </c>
      <c r="AC31" s="23" t="s">
        <v>301</v>
      </c>
      <c r="AD31" s="23">
        <v>33636.92</v>
      </c>
      <c r="AL31" s="23" t="s">
        <v>287</v>
      </c>
      <c r="AO31" s="23">
        <v>763.52</v>
      </c>
    </row>
    <row r="32" spans="1:47" x14ac:dyDescent="0.25">
      <c r="A32" s="25" t="s">
        <v>40</v>
      </c>
      <c r="W32" s="23" t="s">
        <v>297</v>
      </c>
      <c r="X32" s="23" t="s">
        <v>302</v>
      </c>
      <c r="Y32" s="23" t="s">
        <v>303</v>
      </c>
      <c r="Z32" s="23" t="s">
        <v>304</v>
      </c>
      <c r="AC32" s="23" t="s">
        <v>301</v>
      </c>
      <c r="AD32" s="23">
        <v>33636.92</v>
      </c>
    </row>
    <row r="33" spans="1:30" x14ac:dyDescent="0.25">
      <c r="A33" s="25" t="s">
        <v>41</v>
      </c>
      <c r="W33" s="23" t="s">
        <v>305</v>
      </c>
      <c r="X33" s="23" t="s">
        <v>306</v>
      </c>
      <c r="Y33" s="23" t="s">
        <v>307</v>
      </c>
      <c r="Z33" s="23" t="s">
        <v>308</v>
      </c>
      <c r="AC33" s="23" t="s">
        <v>296</v>
      </c>
      <c r="AD33" s="23">
        <v>900</v>
      </c>
    </row>
    <row r="34" spans="1:30" x14ac:dyDescent="0.25">
      <c r="A34" s="25" t="s">
        <v>42</v>
      </c>
      <c r="W34" s="23" t="s">
        <v>192</v>
      </c>
      <c r="Y34" s="23" t="s">
        <v>309</v>
      </c>
      <c r="Z34" s="23" t="s">
        <v>310</v>
      </c>
      <c r="AC34" s="23" t="s">
        <v>296</v>
      </c>
      <c r="AD34" s="23">
        <v>527.59</v>
      </c>
    </row>
    <row r="35" spans="1:30" x14ac:dyDescent="0.25">
      <c r="A35" s="25" t="s">
        <v>43</v>
      </c>
      <c r="W35" s="23" t="s">
        <v>192</v>
      </c>
      <c r="X35" s="23" t="s">
        <v>200</v>
      </c>
      <c r="Y35" s="23" t="s">
        <v>201</v>
      </c>
      <c r="Z35" s="23" t="s">
        <v>311</v>
      </c>
      <c r="AC35" s="23" t="s">
        <v>296</v>
      </c>
      <c r="AD35" s="23">
        <v>10442.83</v>
      </c>
    </row>
    <row r="36" spans="1:30" x14ac:dyDescent="0.25">
      <c r="A36" s="25" t="s">
        <v>44</v>
      </c>
      <c r="W36" s="23" t="s">
        <v>312</v>
      </c>
      <c r="X36" s="23" t="s">
        <v>313</v>
      </c>
      <c r="Y36" s="23" t="s">
        <v>314</v>
      </c>
      <c r="Z36" s="23" t="s">
        <v>315</v>
      </c>
      <c r="AC36" s="23" t="s">
        <v>296</v>
      </c>
      <c r="AD36" s="23">
        <v>670</v>
      </c>
    </row>
    <row r="37" spans="1:30" x14ac:dyDescent="0.25">
      <c r="A37" s="25" t="s">
        <v>45</v>
      </c>
      <c r="X37" s="23" t="s">
        <v>313</v>
      </c>
      <c r="Y37" s="23" t="s">
        <v>316</v>
      </c>
      <c r="Z37" s="23" t="s">
        <v>317</v>
      </c>
      <c r="AA37" s="23">
        <v>1950</v>
      </c>
      <c r="AB37" s="23">
        <v>0.3</v>
      </c>
      <c r="AC37" s="23" t="s">
        <v>296</v>
      </c>
      <c r="AD37" s="23">
        <v>585</v>
      </c>
    </row>
    <row r="38" spans="1:30" x14ac:dyDescent="0.25">
      <c r="A38" s="25" t="s">
        <v>46</v>
      </c>
      <c r="X38" s="23" t="s">
        <v>318</v>
      </c>
      <c r="Y38" s="23" t="s">
        <v>314</v>
      </c>
      <c r="Z38" s="23" t="s">
        <v>319</v>
      </c>
      <c r="AA38" s="23">
        <v>155.88</v>
      </c>
      <c r="AB38" s="23">
        <v>0.15</v>
      </c>
      <c r="AC38" s="23" t="s">
        <v>296</v>
      </c>
      <c r="AD38" s="23">
        <v>23.381999999999998</v>
      </c>
    </row>
    <row r="39" spans="1:30" x14ac:dyDescent="0.25">
      <c r="A39" s="25" t="s">
        <v>47</v>
      </c>
      <c r="X39" s="23" t="s">
        <v>320</v>
      </c>
      <c r="Y39" s="23" t="s">
        <v>314</v>
      </c>
      <c r="Z39" s="23" t="s">
        <v>321</v>
      </c>
      <c r="AA39" s="23">
        <v>1428</v>
      </c>
      <c r="AB39" s="23">
        <v>0.3</v>
      </c>
      <c r="AC39" s="23" t="s">
        <v>296</v>
      </c>
      <c r="AD39" s="23">
        <v>428.4</v>
      </c>
    </row>
    <row r="40" spans="1:30" x14ac:dyDescent="0.25">
      <c r="A40" s="25" t="s">
        <v>48</v>
      </c>
      <c r="W40" s="23" t="s">
        <v>322</v>
      </c>
      <c r="X40" s="23" t="s">
        <v>323</v>
      </c>
      <c r="Y40" s="23" t="s">
        <v>314</v>
      </c>
      <c r="Z40" s="23" t="s">
        <v>324</v>
      </c>
      <c r="AA40" s="23">
        <v>1637.26</v>
      </c>
      <c r="AB40" s="23">
        <v>0.5</v>
      </c>
      <c r="AC40" s="23" t="s">
        <v>296</v>
      </c>
      <c r="AD40" s="23">
        <v>748.55</v>
      </c>
    </row>
    <row r="41" spans="1:30" x14ac:dyDescent="0.25">
      <c r="A41" s="25" t="s">
        <v>49</v>
      </c>
      <c r="W41" s="23" t="s">
        <v>325</v>
      </c>
      <c r="X41" s="23" t="s">
        <v>326</v>
      </c>
      <c r="Y41" s="23" t="s">
        <v>314</v>
      </c>
      <c r="Z41" s="23" t="s">
        <v>327</v>
      </c>
      <c r="AA41" s="23">
        <v>900</v>
      </c>
      <c r="AB41" s="23">
        <v>0.85</v>
      </c>
      <c r="AC41" s="23" t="s">
        <v>296</v>
      </c>
      <c r="AD41" s="23">
        <v>756</v>
      </c>
    </row>
    <row r="42" spans="1:30" x14ac:dyDescent="0.25">
      <c r="A42" s="25" t="s">
        <v>50</v>
      </c>
      <c r="W42" s="23" t="s">
        <v>328</v>
      </c>
    </row>
    <row r="43" spans="1:30" x14ac:dyDescent="0.25">
      <c r="A43" s="25" t="s">
        <v>51</v>
      </c>
      <c r="Y43" s="23" t="s">
        <v>281</v>
      </c>
      <c r="AD43" s="23">
        <v>38689.229999999996</v>
      </c>
    </row>
    <row r="44" spans="1:30" x14ac:dyDescent="0.25">
      <c r="A44" s="25" t="s">
        <v>52</v>
      </c>
      <c r="Y44" s="23" t="s">
        <v>284</v>
      </c>
      <c r="AD44" s="23">
        <v>126597.19199999998</v>
      </c>
    </row>
    <row r="45" spans="1:30" x14ac:dyDescent="0.25">
      <c r="A45" s="25" t="s">
        <v>53</v>
      </c>
      <c r="Y45" s="23" t="s">
        <v>287</v>
      </c>
      <c r="AD45" s="23">
        <v>165286.42199999996</v>
      </c>
    </row>
    <row r="46" spans="1:30" x14ac:dyDescent="0.25">
      <c r="A46" s="25" t="s">
        <v>54</v>
      </c>
    </row>
    <row r="47" spans="1:30" x14ac:dyDescent="0.25">
      <c r="A47" s="25" t="s">
        <v>55</v>
      </c>
    </row>
    <row r="48" spans="1:30" x14ac:dyDescent="0.25">
      <c r="A48" s="25" t="s">
        <v>56</v>
      </c>
    </row>
    <row r="49" spans="1:1" x14ac:dyDescent="0.25">
      <c r="A49" s="25" t="s">
        <v>57</v>
      </c>
    </row>
    <row r="50" spans="1:1" x14ac:dyDescent="0.25">
      <c r="A50" s="25" t="s">
        <v>58</v>
      </c>
    </row>
    <row r="51" spans="1:1" x14ac:dyDescent="0.25">
      <c r="A51" s="25" t="s">
        <v>59</v>
      </c>
    </row>
    <row r="52" spans="1:1" x14ac:dyDescent="0.25">
      <c r="A52" s="25" t="s">
        <v>60</v>
      </c>
    </row>
    <row r="53" spans="1:1" x14ac:dyDescent="0.25">
      <c r="A53" s="25" t="s">
        <v>61</v>
      </c>
    </row>
    <row r="54" spans="1:1" x14ac:dyDescent="0.25">
      <c r="A54" s="25" t="s">
        <v>62</v>
      </c>
    </row>
    <row r="55" spans="1:1" x14ac:dyDescent="0.25">
      <c r="A55" s="25" t="s">
        <v>63</v>
      </c>
    </row>
    <row r="56" spans="1:1" x14ac:dyDescent="0.25">
      <c r="A56" s="25" t="s">
        <v>64</v>
      </c>
    </row>
    <row r="57" spans="1:1" x14ac:dyDescent="0.25">
      <c r="A57" s="25" t="s">
        <v>65</v>
      </c>
    </row>
    <row r="58" spans="1:1" x14ac:dyDescent="0.25">
      <c r="A58" s="25" t="s">
        <v>66</v>
      </c>
    </row>
    <row r="59" spans="1:1" x14ac:dyDescent="0.25">
      <c r="A59" s="25" t="s">
        <v>67</v>
      </c>
    </row>
    <row r="60" spans="1:1" x14ac:dyDescent="0.25">
      <c r="A60" s="25" t="s">
        <v>68</v>
      </c>
    </row>
    <row r="61" spans="1:1" x14ac:dyDescent="0.25">
      <c r="A61" s="25" t="s">
        <v>69</v>
      </c>
    </row>
    <row r="62" spans="1:1" x14ac:dyDescent="0.25">
      <c r="A62" s="25" t="s">
        <v>70</v>
      </c>
    </row>
    <row r="63" spans="1:1" x14ac:dyDescent="0.25">
      <c r="A63" s="25" t="s">
        <v>71</v>
      </c>
    </row>
    <row r="64" spans="1:1" x14ac:dyDescent="0.25">
      <c r="A64" s="25" t="s">
        <v>72</v>
      </c>
    </row>
    <row r="65" spans="1:1" x14ac:dyDescent="0.25">
      <c r="A65" s="25" t="s">
        <v>73</v>
      </c>
    </row>
    <row r="66" spans="1:1" x14ac:dyDescent="0.25">
      <c r="A66" s="25" t="s">
        <v>74</v>
      </c>
    </row>
    <row r="67" spans="1:1" x14ac:dyDescent="0.25">
      <c r="A67" s="25" t="s">
        <v>75</v>
      </c>
    </row>
    <row r="68" spans="1:1" x14ac:dyDescent="0.25">
      <c r="A68" s="25" t="s">
        <v>76</v>
      </c>
    </row>
    <row r="69" spans="1:1" x14ac:dyDescent="0.25">
      <c r="A69" s="25" t="s">
        <v>77</v>
      </c>
    </row>
    <row r="70" spans="1:1" x14ac:dyDescent="0.25">
      <c r="A70" s="25" t="s">
        <v>78</v>
      </c>
    </row>
    <row r="71" spans="1:1" x14ac:dyDescent="0.25">
      <c r="A71" s="25" t="s">
        <v>79</v>
      </c>
    </row>
    <row r="72" spans="1:1" x14ac:dyDescent="0.25">
      <c r="A72" s="25" t="s">
        <v>123</v>
      </c>
    </row>
    <row r="73" spans="1:1" x14ac:dyDescent="0.25">
      <c r="A73" s="25" t="s">
        <v>81</v>
      </c>
    </row>
    <row r="74" spans="1:1" x14ac:dyDescent="0.25">
      <c r="A74" s="25" t="s">
        <v>82</v>
      </c>
    </row>
    <row r="75" spans="1:1" x14ac:dyDescent="0.25">
      <c r="A75" s="25" t="s">
        <v>124</v>
      </c>
    </row>
    <row r="76" spans="1:1" x14ac:dyDescent="0.25">
      <c r="A76" s="25" t="s">
        <v>125</v>
      </c>
    </row>
    <row r="77" spans="1:1" x14ac:dyDescent="0.25">
      <c r="A77" s="25" t="s">
        <v>83</v>
      </c>
    </row>
    <row r="78" spans="1:1" x14ac:dyDescent="0.25">
      <c r="A78" s="25" t="s">
        <v>84</v>
      </c>
    </row>
    <row r="79" spans="1:1" x14ac:dyDescent="0.25">
      <c r="A79" s="25" t="s">
        <v>85</v>
      </c>
    </row>
    <row r="80" spans="1:1" x14ac:dyDescent="0.25">
      <c r="A80" s="25" t="s">
        <v>86</v>
      </c>
    </row>
    <row r="81" spans="1:1" x14ac:dyDescent="0.25">
      <c r="A81" s="25" t="s">
        <v>87</v>
      </c>
    </row>
    <row r="82" spans="1:1" x14ac:dyDescent="0.25">
      <c r="A82" s="25" t="s">
        <v>88</v>
      </c>
    </row>
    <row r="83" spans="1:1" x14ac:dyDescent="0.25">
      <c r="A83" s="25" t="s">
        <v>89</v>
      </c>
    </row>
    <row r="84" spans="1:1" x14ac:dyDescent="0.25">
      <c r="A84" s="25" t="s">
        <v>90</v>
      </c>
    </row>
    <row r="85" spans="1:1" x14ac:dyDescent="0.25">
      <c r="A85" s="25" t="s">
        <v>91</v>
      </c>
    </row>
    <row r="86" spans="1:1" x14ac:dyDescent="0.25">
      <c r="A86" s="25" t="s">
        <v>92</v>
      </c>
    </row>
    <row r="87" spans="1:1" x14ac:dyDescent="0.25">
      <c r="A87" s="25" t="s">
        <v>93</v>
      </c>
    </row>
    <row r="88" spans="1:1" x14ac:dyDescent="0.25">
      <c r="A88" s="25" t="s">
        <v>94</v>
      </c>
    </row>
    <row r="89" spans="1:1" x14ac:dyDescent="0.25">
      <c r="A89" s="25" t="s">
        <v>95</v>
      </c>
    </row>
    <row r="90" spans="1:1" x14ac:dyDescent="0.25">
      <c r="A90" s="25" t="s">
        <v>96</v>
      </c>
    </row>
    <row r="91" spans="1:1" x14ac:dyDescent="0.25">
      <c r="A91" s="25" t="s">
        <v>97</v>
      </c>
    </row>
    <row r="92" spans="1:1" x14ac:dyDescent="0.25">
      <c r="A92" s="25" t="s">
        <v>98</v>
      </c>
    </row>
    <row r="93" spans="1:1" x14ac:dyDescent="0.25">
      <c r="A93" s="25" t="s">
        <v>99</v>
      </c>
    </row>
    <row r="94" spans="1:1" x14ac:dyDescent="0.25">
      <c r="A94" s="25" t="s">
        <v>100</v>
      </c>
    </row>
    <row r="95" spans="1:1" x14ac:dyDescent="0.25">
      <c r="A95" s="25" t="s">
        <v>102</v>
      </c>
    </row>
    <row r="96" spans="1:1" x14ac:dyDescent="0.25">
      <c r="A96" s="25" t="s">
        <v>103</v>
      </c>
    </row>
    <row r="97" spans="1:1" x14ac:dyDescent="0.25">
      <c r="A97" s="25" t="s">
        <v>104</v>
      </c>
    </row>
    <row r="98" spans="1:1" x14ac:dyDescent="0.25">
      <c r="A98" s="25" t="s">
        <v>105</v>
      </c>
    </row>
    <row r="99" spans="1:1" x14ac:dyDescent="0.25">
      <c r="A99" s="25" t="s">
        <v>106</v>
      </c>
    </row>
    <row r="100" spans="1:1" x14ac:dyDescent="0.25">
      <c r="A100" s="25" t="s">
        <v>107</v>
      </c>
    </row>
    <row r="101" spans="1:1" x14ac:dyDescent="0.25">
      <c r="A101" s="25" t="s">
        <v>108</v>
      </c>
    </row>
    <row r="102" spans="1:1" x14ac:dyDescent="0.25">
      <c r="A102" s="25" t="s">
        <v>109</v>
      </c>
    </row>
    <row r="103" spans="1:1" x14ac:dyDescent="0.25">
      <c r="A103" s="25" t="s">
        <v>110</v>
      </c>
    </row>
    <row r="104" spans="1:1" x14ac:dyDescent="0.25">
      <c r="A104" s="25" t="s">
        <v>111</v>
      </c>
    </row>
    <row r="105" spans="1:1" x14ac:dyDescent="0.25">
      <c r="A105" s="25" t="s">
        <v>112</v>
      </c>
    </row>
    <row r="106" spans="1:1" x14ac:dyDescent="0.25">
      <c r="A106" s="25" t="s">
        <v>113</v>
      </c>
    </row>
    <row r="107" spans="1:1" x14ac:dyDescent="0.25">
      <c r="A107" s="25" t="s">
        <v>114</v>
      </c>
    </row>
    <row r="108" spans="1:1" x14ac:dyDescent="0.25">
      <c r="A108" s="25" t="s">
        <v>115</v>
      </c>
    </row>
    <row r="109" spans="1:1" x14ac:dyDescent="0.25">
      <c r="A109" s="25" t="s">
        <v>126</v>
      </c>
    </row>
    <row r="110" spans="1:1" x14ac:dyDescent="0.25">
      <c r="A110" s="25" t="s">
        <v>127</v>
      </c>
    </row>
    <row r="111" spans="1:1" x14ac:dyDescent="0.25">
      <c r="A111" s="25" t="s">
        <v>128</v>
      </c>
    </row>
    <row r="112" spans="1:1" x14ac:dyDescent="0.25">
      <c r="A112" s="25" t="s">
        <v>129</v>
      </c>
    </row>
    <row r="113" spans="1:1" x14ac:dyDescent="0.25">
      <c r="A113" s="25" t="s">
        <v>130</v>
      </c>
    </row>
    <row r="114" spans="1:1" x14ac:dyDescent="0.25">
      <c r="A114" s="25" t="s">
        <v>131</v>
      </c>
    </row>
    <row r="115" spans="1:1" x14ac:dyDescent="0.25">
      <c r="A115" s="25" t="s">
        <v>132</v>
      </c>
    </row>
    <row r="116" spans="1:1" x14ac:dyDescent="0.25">
      <c r="A116" s="25" t="s">
        <v>116</v>
      </c>
    </row>
    <row r="117" spans="1:1" x14ac:dyDescent="0.25">
      <c r="A117" s="25" t="s">
        <v>117</v>
      </c>
    </row>
    <row r="118" spans="1:1" x14ac:dyDescent="0.25">
      <c r="A118" s="25" t="s">
        <v>118</v>
      </c>
    </row>
    <row r="119" spans="1:1" x14ac:dyDescent="0.25">
      <c r="A119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ADF8-050E-4172-B6AC-D56D99423274}">
  <sheetPr>
    <tabColor theme="1" tint="0.14999847407452621"/>
  </sheetPr>
  <dimension ref="A1:R116"/>
  <sheetViews>
    <sheetView workbookViewId="0">
      <selection activeCell="A34" sqref="A34"/>
    </sheetView>
  </sheetViews>
  <sheetFormatPr defaultColWidth="9.140625" defaultRowHeight="15" x14ac:dyDescent="0.25"/>
  <cols>
    <col min="1" max="1" width="30.7109375" customWidth="1"/>
    <col min="2" max="2" width="13.85546875" customWidth="1"/>
    <col min="3" max="3" width="13.5703125" bestFit="1" customWidth="1"/>
    <col min="4" max="4" width="16.140625" style="29" bestFit="1" customWidth="1"/>
    <col min="5" max="6" width="16.140625" style="29" customWidth="1"/>
    <col min="7" max="7" width="40.5703125" style="29" customWidth="1"/>
    <col min="8" max="8" width="46.42578125" style="29" customWidth="1"/>
    <col min="9" max="9" width="14.7109375" style="29" customWidth="1"/>
    <col min="10" max="15" width="13.42578125" style="29" customWidth="1"/>
    <col min="16" max="18" width="16.7109375" style="29" customWidth="1"/>
    <col min="19" max="16384" width="9.140625" style="29"/>
  </cols>
  <sheetData>
    <row r="1" spans="1:18" x14ac:dyDescent="0.25">
      <c r="A1" s="23"/>
      <c r="B1" s="23"/>
      <c r="C1" s="29"/>
    </row>
    <row r="2" spans="1:18" x14ac:dyDescent="0.25">
      <c r="A2" s="23"/>
      <c r="B2" s="23"/>
      <c r="C2" s="29"/>
      <c r="H2" s="30" t="s">
        <v>329</v>
      </c>
      <c r="I2" s="31" t="s">
        <v>330</v>
      </c>
    </row>
    <row r="3" spans="1:18" x14ac:dyDescent="0.25">
      <c r="A3" s="23"/>
      <c r="B3" s="23"/>
      <c r="C3" s="29"/>
      <c r="H3" s="32" t="s">
        <v>331</v>
      </c>
      <c r="I3" s="33">
        <v>469825.61249999999</v>
      </c>
    </row>
    <row r="4" spans="1:18" ht="15.75" thickBot="1" x14ac:dyDescent="0.3">
      <c r="H4" s="34" t="s">
        <v>332</v>
      </c>
      <c r="I4" s="35">
        <v>12600</v>
      </c>
    </row>
    <row r="5" spans="1:18" ht="24.75" thickBot="1" x14ac:dyDescent="0.25">
      <c r="A5" s="303"/>
      <c r="B5" s="303" t="s">
        <v>745</v>
      </c>
      <c r="C5" s="304" t="s">
        <v>6</v>
      </c>
      <c r="H5" s="36" t="s">
        <v>333</v>
      </c>
      <c r="I5" s="37">
        <v>316026.25</v>
      </c>
    </row>
    <row r="6" spans="1:18" x14ac:dyDescent="0.25">
      <c r="A6" s="117"/>
      <c r="B6" s="309" t="s">
        <v>17</v>
      </c>
      <c r="C6" s="309" t="s">
        <v>17</v>
      </c>
      <c r="H6" s="38" t="s">
        <v>334</v>
      </c>
      <c r="I6" s="39">
        <v>798451.86250000005</v>
      </c>
    </row>
    <row r="7" spans="1:18" ht="25.5" x14ac:dyDescent="0.2">
      <c r="A7" s="97" t="s">
        <v>18</v>
      </c>
      <c r="B7" s="118"/>
      <c r="C7" s="118"/>
      <c r="D7" s="40" t="s">
        <v>335</v>
      </c>
      <c r="E7" s="40"/>
      <c r="F7" s="40"/>
      <c r="G7" s="4">
        <v>798451.86250000005</v>
      </c>
      <c r="H7" s="41" t="s">
        <v>336</v>
      </c>
      <c r="I7" s="42">
        <v>494425.61250000005</v>
      </c>
    </row>
    <row r="8" spans="1:18" ht="39" thickBot="1" x14ac:dyDescent="0.25">
      <c r="A8" s="96" t="s">
        <v>19</v>
      </c>
      <c r="B8" s="119"/>
      <c r="C8" s="119">
        <v>178800</v>
      </c>
      <c r="D8" s="40" t="s">
        <v>337</v>
      </c>
      <c r="E8" s="40"/>
      <c r="F8" s="40"/>
      <c r="G8" s="4">
        <v>310732.57255505514</v>
      </c>
      <c r="H8" s="43" t="s">
        <v>338</v>
      </c>
      <c r="I8" s="44">
        <v>304026.25</v>
      </c>
    </row>
    <row r="9" spans="1:18" ht="26.25" thickTop="1" x14ac:dyDescent="0.2">
      <c r="A9" s="96" t="s">
        <v>20</v>
      </c>
      <c r="B9" s="121"/>
      <c r="C9" s="121">
        <v>178800</v>
      </c>
      <c r="D9" s="40" t="s">
        <v>339</v>
      </c>
      <c r="E9" s="40"/>
      <c r="F9" s="40"/>
      <c r="G9" s="4">
        <v>487719.28994494485</v>
      </c>
      <c r="H9" s="38" t="s">
        <v>340</v>
      </c>
      <c r="I9" s="45">
        <v>0.38076966725091704</v>
      </c>
    </row>
    <row r="10" spans="1:18" ht="12.75" x14ac:dyDescent="0.2">
      <c r="A10" s="96" t="s">
        <v>21</v>
      </c>
      <c r="B10" s="119">
        <v>15000</v>
      </c>
      <c r="C10" s="119"/>
      <c r="D10" s="369" t="s">
        <v>756</v>
      </c>
    </row>
    <row r="11" spans="1:18" ht="12.75" x14ac:dyDescent="0.2">
      <c r="A11" s="96" t="s">
        <v>22</v>
      </c>
      <c r="B11" s="119"/>
      <c r="C11" s="119"/>
      <c r="D11" s="367" t="s">
        <v>752</v>
      </c>
      <c r="E11" s="46">
        <v>5000</v>
      </c>
      <c r="F11" s="46"/>
      <c r="G11" s="47" t="s">
        <v>341</v>
      </c>
      <c r="H11" s="48"/>
      <c r="I11" s="49"/>
      <c r="J11" s="50"/>
      <c r="K11" s="50"/>
      <c r="L11" s="50"/>
      <c r="M11" s="50"/>
      <c r="N11" s="51"/>
      <c r="O11" s="51"/>
    </row>
    <row r="12" spans="1:18" ht="16.5" customHeight="1" x14ac:dyDescent="0.2">
      <c r="A12" s="96" t="s">
        <v>23</v>
      </c>
      <c r="B12" s="119"/>
      <c r="C12" s="119"/>
      <c r="D12" s="367" t="s">
        <v>753</v>
      </c>
      <c r="E12" s="46">
        <v>5000</v>
      </c>
      <c r="F12" s="46"/>
      <c r="G12" s="52" t="s">
        <v>265</v>
      </c>
      <c r="H12" s="52" t="s">
        <v>342</v>
      </c>
      <c r="I12" s="52" t="s">
        <v>343</v>
      </c>
      <c r="J12" s="52" t="s">
        <v>344</v>
      </c>
      <c r="K12" s="52"/>
      <c r="L12" s="281" t="s">
        <v>345</v>
      </c>
      <c r="M12" s="281"/>
      <c r="N12" s="281" t="s">
        <v>346</v>
      </c>
      <c r="O12" s="281"/>
      <c r="P12" s="53" t="s">
        <v>347</v>
      </c>
      <c r="Q12" s="52" t="s">
        <v>348</v>
      </c>
      <c r="R12" s="52" t="s">
        <v>349</v>
      </c>
    </row>
    <row r="13" spans="1:18" ht="18" customHeight="1" x14ac:dyDescent="0.2">
      <c r="A13" s="96" t="s">
        <v>24</v>
      </c>
      <c r="B13" s="121"/>
      <c r="C13" s="121">
        <v>0</v>
      </c>
      <c r="D13" s="366" t="s">
        <v>751</v>
      </c>
      <c r="E13" s="46">
        <v>5000</v>
      </c>
      <c r="F13" s="46"/>
      <c r="G13" s="54" t="s">
        <v>350</v>
      </c>
      <c r="H13" s="55" t="s">
        <v>351</v>
      </c>
      <c r="I13" s="56">
        <v>25</v>
      </c>
      <c r="J13" s="57">
        <v>100</v>
      </c>
      <c r="K13" s="285" t="s">
        <v>352</v>
      </c>
      <c r="L13" s="57">
        <v>150</v>
      </c>
      <c r="M13" s="285" t="s">
        <v>353</v>
      </c>
      <c r="N13" s="57">
        <v>150</v>
      </c>
      <c r="O13" s="285" t="s">
        <v>354</v>
      </c>
      <c r="P13" s="58">
        <f>I13*SUM(J13:N13)</f>
        <v>10000</v>
      </c>
      <c r="Q13" s="58">
        <v>7500</v>
      </c>
      <c r="R13" s="58">
        <v>2500</v>
      </c>
    </row>
    <row r="14" spans="1:18" ht="13.5" thickBot="1" x14ac:dyDescent="0.25">
      <c r="A14" s="96" t="s">
        <v>25</v>
      </c>
      <c r="B14" s="121"/>
      <c r="C14" s="121"/>
      <c r="D14" s="367"/>
      <c r="E14" s="46"/>
      <c r="F14" s="46"/>
      <c r="G14" s="59" t="s">
        <v>355</v>
      </c>
      <c r="H14" s="60"/>
      <c r="I14" s="6"/>
      <c r="J14" s="61"/>
      <c r="K14" s="292"/>
      <c r="L14" s="282"/>
      <c r="M14" s="287"/>
      <c r="N14" s="282"/>
      <c r="O14" s="287"/>
      <c r="P14" s="62"/>
      <c r="Q14" s="63"/>
      <c r="R14" s="63"/>
    </row>
    <row r="15" spans="1:18" ht="12.75" x14ac:dyDescent="0.2">
      <c r="A15" s="96" t="s">
        <v>26</v>
      </c>
      <c r="B15" s="121"/>
      <c r="C15" s="121"/>
      <c r="D15" s="367"/>
      <c r="E15" s="46"/>
      <c r="F15" s="46"/>
      <c r="G15" s="64" t="s">
        <v>356</v>
      </c>
      <c r="H15" s="60" t="s">
        <v>357</v>
      </c>
      <c r="I15" s="6">
        <v>46.8</v>
      </c>
      <c r="J15" s="290">
        <v>416</v>
      </c>
      <c r="K15" s="293">
        <f>I15*J15</f>
        <v>19468.8</v>
      </c>
      <c r="L15" s="291">
        <v>208</v>
      </c>
      <c r="M15" s="287">
        <f>I15*L15</f>
        <v>9734.4</v>
      </c>
      <c r="N15" s="283">
        <v>52</v>
      </c>
      <c r="O15" s="287">
        <f>I15*N15</f>
        <v>2433.6</v>
      </c>
      <c r="P15" s="62">
        <v>31636.799999999999</v>
      </c>
      <c r="Q15" s="63">
        <v>19590.466191116186</v>
      </c>
      <c r="R15" s="63">
        <v>12046.333808883814</v>
      </c>
    </row>
    <row r="16" spans="1:18" ht="12.75" x14ac:dyDescent="0.2">
      <c r="A16" s="96" t="s">
        <v>27</v>
      </c>
      <c r="B16" s="121"/>
      <c r="C16" s="121">
        <v>0</v>
      </c>
      <c r="D16" s="46"/>
      <c r="E16" s="46"/>
      <c r="F16" s="46"/>
      <c r="G16" s="64" t="s">
        <v>358</v>
      </c>
      <c r="H16" s="60" t="s">
        <v>359</v>
      </c>
      <c r="I16" s="6">
        <v>32.5</v>
      </c>
      <c r="J16" s="290">
        <v>1040</v>
      </c>
      <c r="K16" s="294">
        <f>I16*J16</f>
        <v>33800</v>
      </c>
      <c r="L16" s="291">
        <v>520</v>
      </c>
      <c r="M16" s="287">
        <f>I16*L16</f>
        <v>16900</v>
      </c>
      <c r="N16" s="283">
        <v>156</v>
      </c>
      <c r="O16" s="287">
        <f>I16*N16</f>
        <v>5070</v>
      </c>
      <c r="P16" s="62">
        <v>55770</v>
      </c>
      <c r="Q16" s="63">
        <v>34534.475657416355</v>
      </c>
      <c r="R16" s="63">
        <v>21235.524342583645</v>
      </c>
    </row>
    <row r="17" spans="1:18" ht="22.5" x14ac:dyDescent="0.2">
      <c r="A17" s="96" t="s">
        <v>28</v>
      </c>
      <c r="B17" s="119"/>
      <c r="C17" s="119"/>
      <c r="D17" s="46"/>
      <c r="E17" s="46"/>
      <c r="F17" s="46"/>
      <c r="G17" s="64" t="s">
        <v>360</v>
      </c>
      <c r="H17" s="64" t="s">
        <v>361</v>
      </c>
      <c r="I17" s="6">
        <v>26</v>
      </c>
      <c r="J17" s="290">
        <v>1040</v>
      </c>
      <c r="K17" s="294">
        <f>I17*J17</f>
        <v>27040</v>
      </c>
      <c r="L17" s="291">
        <v>520</v>
      </c>
      <c r="M17" s="287">
        <f>I17*L17</f>
        <v>13520</v>
      </c>
      <c r="N17" s="283">
        <v>156</v>
      </c>
      <c r="O17" s="287">
        <f>I17*N17</f>
        <v>4056</v>
      </c>
      <c r="P17" s="62">
        <v>44616</v>
      </c>
      <c r="Q17" s="63">
        <v>27627.580525933081</v>
      </c>
      <c r="R17" s="63">
        <v>16988.419474066919</v>
      </c>
    </row>
    <row r="18" spans="1:18" ht="22.5" x14ac:dyDescent="0.2">
      <c r="A18" s="96" t="s">
        <v>29</v>
      </c>
      <c r="B18" s="307"/>
      <c r="C18" s="119"/>
      <c r="D18" s="46"/>
      <c r="E18" s="46"/>
      <c r="F18" s="46"/>
      <c r="G18" s="64"/>
      <c r="H18" s="60"/>
      <c r="I18" s="6"/>
      <c r="J18" s="290"/>
      <c r="K18" s="294"/>
      <c r="L18" s="291"/>
      <c r="M18" s="287"/>
      <c r="N18" s="283"/>
      <c r="O18" s="287"/>
      <c r="P18" s="62"/>
      <c r="Q18" s="63"/>
      <c r="R18" s="63"/>
    </row>
    <row r="19" spans="1:18" ht="12.75" x14ac:dyDescent="0.2">
      <c r="A19" s="96" t="s">
        <v>30</v>
      </c>
      <c r="B19" s="119"/>
      <c r="C19" s="119"/>
      <c r="D19" s="46"/>
      <c r="E19" s="46"/>
      <c r="F19" s="46"/>
      <c r="G19" s="59" t="s">
        <v>362</v>
      </c>
      <c r="H19" s="60"/>
      <c r="I19" s="6"/>
      <c r="J19" s="290"/>
      <c r="K19" s="294"/>
      <c r="L19" s="291"/>
      <c r="M19" s="287"/>
      <c r="N19" s="283"/>
      <c r="O19" s="287"/>
      <c r="P19" s="62"/>
      <c r="Q19" s="63"/>
      <c r="R19" s="63"/>
    </row>
    <row r="20" spans="1:18" ht="12.75" x14ac:dyDescent="0.2">
      <c r="A20" s="96" t="s">
        <v>31</v>
      </c>
      <c r="B20" s="120">
        <v>5000</v>
      </c>
      <c r="C20" s="119"/>
      <c r="D20" s="70" t="s">
        <v>755</v>
      </c>
      <c r="E20" s="46"/>
      <c r="F20" s="46"/>
      <c r="G20" s="64" t="s">
        <v>363</v>
      </c>
      <c r="H20" s="60" t="s">
        <v>364</v>
      </c>
      <c r="I20" s="6">
        <v>23.400000000000002</v>
      </c>
      <c r="J20" s="290">
        <v>346.66666666666669</v>
      </c>
      <c r="K20" s="294">
        <f>I20*J20</f>
        <v>8112.0000000000009</v>
      </c>
      <c r="L20" s="291">
        <v>2080</v>
      </c>
      <c r="M20" s="287">
        <f>I20*L20</f>
        <v>48672.000000000007</v>
      </c>
      <c r="N20" s="283">
        <v>1040</v>
      </c>
      <c r="O20" s="287">
        <f>I20*N20</f>
        <v>24336.000000000004</v>
      </c>
      <c r="P20" s="62">
        <v>81120</v>
      </c>
      <c r="Q20" s="63">
        <v>50231.964592605604</v>
      </c>
      <c r="R20" s="63">
        <v>30888.035407394396</v>
      </c>
    </row>
    <row r="21" spans="1:18" ht="12.75" x14ac:dyDescent="0.2">
      <c r="A21" s="96" t="s">
        <v>32</v>
      </c>
      <c r="B21" s="119">
        <v>20000</v>
      </c>
      <c r="C21" s="119"/>
      <c r="D21" s="368" t="s">
        <v>754</v>
      </c>
      <c r="E21" s="46"/>
      <c r="F21" s="46"/>
      <c r="G21" s="64" t="s">
        <v>365</v>
      </c>
      <c r="H21" s="60" t="s">
        <v>366</v>
      </c>
      <c r="I21" s="6">
        <v>17.25</v>
      </c>
      <c r="J21" s="290">
        <v>258.75</v>
      </c>
      <c r="K21" s="294">
        <f>I21*J21</f>
        <v>4463.4375</v>
      </c>
      <c r="L21" s="291">
        <v>3105</v>
      </c>
      <c r="M21" s="287">
        <f>I21*L21</f>
        <v>53561.25</v>
      </c>
      <c r="N21" s="283">
        <v>1552.5</v>
      </c>
      <c r="O21" s="287">
        <f>I21*N21</f>
        <v>26780.625</v>
      </c>
      <c r="P21" s="62">
        <v>84805.3125</v>
      </c>
      <c r="Q21" s="63">
        <v>52514.021878264961</v>
      </c>
      <c r="R21" s="63">
        <v>32291.290621735039</v>
      </c>
    </row>
    <row r="22" spans="1:18" ht="12.75" x14ac:dyDescent="0.2">
      <c r="A22" s="96" t="s">
        <v>33</v>
      </c>
      <c r="B22" s="121"/>
      <c r="C22" s="121">
        <v>0</v>
      </c>
      <c r="D22" s="46"/>
      <c r="E22" s="46"/>
      <c r="F22" s="46"/>
      <c r="G22" s="60"/>
      <c r="H22" s="60"/>
      <c r="I22" s="6"/>
      <c r="J22" s="290"/>
      <c r="K22" s="294"/>
      <c r="L22" s="291"/>
      <c r="M22" s="287"/>
      <c r="N22" s="283"/>
      <c r="O22" s="287"/>
      <c r="P22" s="62">
        <v>0</v>
      </c>
      <c r="Q22" s="63">
        <v>0</v>
      </c>
      <c r="R22" s="63">
        <v>0</v>
      </c>
    </row>
    <row r="23" spans="1:18" ht="12.75" x14ac:dyDescent="0.2">
      <c r="A23" s="96" t="s">
        <v>34</v>
      </c>
      <c r="B23" s="119"/>
      <c r="C23" s="119"/>
      <c r="D23" s="46"/>
      <c r="E23" s="46"/>
      <c r="F23" s="46"/>
      <c r="G23" s="59" t="s">
        <v>367</v>
      </c>
      <c r="H23" s="60"/>
      <c r="I23" s="6"/>
      <c r="J23" s="290"/>
      <c r="K23" s="294"/>
      <c r="L23" s="291"/>
      <c r="M23" s="287"/>
      <c r="N23" s="283"/>
      <c r="O23" s="287"/>
      <c r="P23" s="62">
        <v>0</v>
      </c>
      <c r="Q23" s="63">
        <v>0</v>
      </c>
      <c r="R23" s="63">
        <v>0</v>
      </c>
    </row>
    <row r="24" spans="1:18" ht="26.25" thickBot="1" x14ac:dyDescent="0.25">
      <c r="A24" s="96" t="s">
        <v>35</v>
      </c>
      <c r="B24" s="120"/>
      <c r="C24" s="119"/>
      <c r="D24" s="46"/>
      <c r="E24" s="46"/>
      <c r="F24" s="46"/>
      <c r="G24" s="64" t="s">
        <v>368</v>
      </c>
      <c r="H24" s="60" t="s">
        <v>369</v>
      </c>
      <c r="I24" s="6">
        <v>125</v>
      </c>
      <c r="J24" s="290">
        <v>250</v>
      </c>
      <c r="K24" s="295">
        <f>I24*J24</f>
        <v>31250</v>
      </c>
      <c r="L24" s="291">
        <v>250</v>
      </c>
      <c r="M24" s="287">
        <f>I24*L24</f>
        <v>31250</v>
      </c>
      <c r="N24" s="283">
        <v>250</v>
      </c>
      <c r="O24" s="287">
        <f>I24*N24</f>
        <v>31250</v>
      </c>
      <c r="P24" s="62">
        <v>93750</v>
      </c>
      <c r="Q24" s="63">
        <v>58052.843695226526</v>
      </c>
      <c r="R24" s="63">
        <v>35697.156304773474</v>
      </c>
    </row>
    <row r="25" spans="1:18" ht="13.5" thickBot="1" x14ac:dyDescent="0.25">
      <c r="A25" s="96" t="s">
        <v>36</v>
      </c>
      <c r="B25" s="120">
        <v>7500</v>
      </c>
      <c r="C25" s="119"/>
      <c r="D25" s="46"/>
      <c r="E25" s="46"/>
      <c r="F25" s="46"/>
      <c r="G25" s="64"/>
      <c r="H25" s="60"/>
      <c r="I25" s="6"/>
      <c r="J25" s="280" t="s">
        <v>370</v>
      </c>
      <c r="K25" s="297">
        <v>125000</v>
      </c>
      <c r="L25" s="283"/>
      <c r="M25" s="287"/>
      <c r="N25" s="283"/>
      <c r="O25" s="287"/>
      <c r="P25" s="62"/>
      <c r="Q25" s="63"/>
      <c r="R25" s="63"/>
    </row>
    <row r="26" spans="1:18" ht="12.75" x14ac:dyDescent="0.2">
      <c r="A26" s="96" t="s">
        <v>37</v>
      </c>
      <c r="B26" s="120"/>
      <c r="C26" s="119"/>
      <c r="D26" s="46"/>
      <c r="E26" s="46"/>
      <c r="F26" s="46"/>
      <c r="G26" s="64" t="s">
        <v>368</v>
      </c>
      <c r="H26" s="64" t="s">
        <v>371</v>
      </c>
      <c r="I26" s="6">
        <v>250</v>
      </c>
      <c r="J26" s="290">
        <v>25</v>
      </c>
      <c r="K26" s="293">
        <f>I26*J26</f>
        <v>6250</v>
      </c>
      <c r="L26" s="291">
        <v>25</v>
      </c>
      <c r="M26" s="287">
        <f>I26*L26</f>
        <v>6250</v>
      </c>
      <c r="N26" s="283">
        <v>25</v>
      </c>
      <c r="O26" s="287">
        <f>I26*N26</f>
        <v>6250</v>
      </c>
      <c r="P26" s="62">
        <v>18750</v>
      </c>
      <c r="Q26" s="63">
        <v>11610.568739045304</v>
      </c>
      <c r="R26" s="63">
        <v>7139.431260954696</v>
      </c>
    </row>
    <row r="27" spans="1:18" ht="12.75" x14ac:dyDescent="0.2">
      <c r="A27" s="305" t="s">
        <v>38</v>
      </c>
      <c r="B27" s="306">
        <f>SUM(B8:B26)</f>
        <v>47500</v>
      </c>
      <c r="C27" s="306">
        <v>178800</v>
      </c>
      <c r="D27" s="46"/>
      <c r="E27" s="46"/>
      <c r="F27" s="46"/>
      <c r="G27" s="59" t="s">
        <v>372</v>
      </c>
      <c r="H27" s="60"/>
      <c r="I27" s="6"/>
      <c r="J27" s="290"/>
      <c r="K27" s="294"/>
      <c r="L27" s="291"/>
      <c r="M27" s="287"/>
      <c r="N27" s="283"/>
      <c r="O27" s="287"/>
      <c r="P27" s="62">
        <v>0</v>
      </c>
      <c r="Q27" s="63">
        <v>0</v>
      </c>
      <c r="R27" s="63">
        <v>0</v>
      </c>
    </row>
    <row r="28" spans="1:18" ht="12.75" x14ac:dyDescent="0.2">
      <c r="A28" s="103" t="s">
        <v>39</v>
      </c>
      <c r="B28" s="122"/>
      <c r="C28" s="122"/>
      <c r="D28" s="46"/>
      <c r="E28" s="46"/>
      <c r="F28" s="46"/>
      <c r="G28" s="60" t="s">
        <v>373</v>
      </c>
      <c r="H28" s="60" t="s">
        <v>374</v>
      </c>
      <c r="I28" s="6">
        <v>84.5</v>
      </c>
      <c r="J28" s="290">
        <v>250</v>
      </c>
      <c r="K28" s="294">
        <f>I28*J28</f>
        <v>21125</v>
      </c>
      <c r="L28" s="291">
        <v>125</v>
      </c>
      <c r="M28" s="287">
        <f>I28*L28</f>
        <v>10562.5</v>
      </c>
      <c r="N28" s="283">
        <v>60</v>
      </c>
      <c r="O28" s="287">
        <f>I28*N28</f>
        <v>5070</v>
      </c>
      <c r="P28" s="62">
        <v>36757.5</v>
      </c>
      <c r="Q28" s="63">
        <v>22761.358956024415</v>
      </c>
      <c r="R28" s="63">
        <v>13996.141043975585</v>
      </c>
    </row>
    <row r="29" spans="1:18" ht="13.5" thickBot="1" x14ac:dyDescent="0.25">
      <c r="A29" s="98" t="s">
        <v>40</v>
      </c>
      <c r="B29" s="123"/>
      <c r="C29" s="123"/>
      <c r="D29" s="46"/>
      <c r="E29" s="46"/>
      <c r="F29" s="46"/>
      <c r="G29" s="64" t="s">
        <v>375</v>
      </c>
      <c r="H29" s="60" t="s">
        <v>376</v>
      </c>
      <c r="I29" s="6">
        <v>26</v>
      </c>
      <c r="J29" s="290">
        <v>500</v>
      </c>
      <c r="K29" s="295">
        <f>I29*J29</f>
        <v>13000</v>
      </c>
      <c r="L29" s="291">
        <v>250</v>
      </c>
      <c r="M29" s="287">
        <f>I29*L29</f>
        <v>6500</v>
      </c>
      <c r="N29" s="283">
        <v>120</v>
      </c>
      <c r="O29" s="287">
        <f>I29*N29</f>
        <v>3120</v>
      </c>
      <c r="P29" s="62">
        <v>22620</v>
      </c>
      <c r="Q29" s="63">
        <v>14006.990126784256</v>
      </c>
      <c r="R29" s="63">
        <v>8613.0098732157439</v>
      </c>
    </row>
    <row r="30" spans="1:18" ht="12.75" x14ac:dyDescent="0.2">
      <c r="A30" s="99" t="s">
        <v>41</v>
      </c>
      <c r="B30" s="124"/>
      <c r="C30" s="124"/>
      <c r="D30" s="46"/>
      <c r="E30" s="46"/>
      <c r="F30" s="46"/>
      <c r="G30" s="64"/>
      <c r="H30" s="60"/>
      <c r="I30" s="6"/>
      <c r="J30" s="61" t="s">
        <v>377</v>
      </c>
      <c r="K30" s="296">
        <v>40000</v>
      </c>
      <c r="L30" s="282"/>
      <c r="M30" s="287"/>
      <c r="N30" s="282"/>
      <c r="O30" s="288"/>
      <c r="P30" s="62">
        <v>0</v>
      </c>
      <c r="Q30" s="63">
        <v>0</v>
      </c>
      <c r="R30" s="63">
        <v>0</v>
      </c>
    </row>
    <row r="31" spans="1:18" ht="13.5" thickBot="1" x14ac:dyDescent="0.25">
      <c r="A31" s="104" t="s">
        <v>42</v>
      </c>
      <c r="B31" s="125"/>
      <c r="C31" s="126"/>
      <c r="D31" s="46"/>
      <c r="E31" s="46"/>
      <c r="F31" s="46"/>
      <c r="G31" s="64"/>
      <c r="H31" s="60"/>
      <c r="I31" s="6"/>
      <c r="J31" s="61"/>
      <c r="K31" s="286"/>
      <c r="L31" s="282"/>
      <c r="M31" s="287"/>
      <c r="N31" s="284"/>
      <c r="O31" s="289"/>
      <c r="P31" s="279">
        <v>0</v>
      </c>
      <c r="Q31" s="66">
        <v>0</v>
      </c>
      <c r="R31" s="66">
        <v>0</v>
      </c>
    </row>
    <row r="32" spans="1:18" ht="13.5" thickTop="1" x14ac:dyDescent="0.2">
      <c r="A32" s="104" t="s">
        <v>742</v>
      </c>
      <c r="B32" s="125">
        <f>E66*C57</f>
        <v>400</v>
      </c>
      <c r="C32" s="126"/>
      <c r="D32" s="46"/>
      <c r="E32" s="46"/>
      <c r="F32" s="46"/>
      <c r="G32" s="620"/>
      <c r="H32" s="620"/>
      <c r="I32" s="46"/>
      <c r="J32" s="46"/>
      <c r="K32" s="46"/>
      <c r="L32" s="67"/>
      <c r="M32" s="67"/>
      <c r="N32" s="67" t="s">
        <v>378</v>
      </c>
      <c r="O32" s="67"/>
      <c r="P32" s="68">
        <v>469825.61249999999</v>
      </c>
      <c r="Q32" s="68">
        <v>290930.27036241669</v>
      </c>
      <c r="R32" s="68">
        <v>178895.3421375833</v>
      </c>
    </row>
    <row r="33" spans="1:18" ht="12.75" x14ac:dyDescent="0.2">
      <c r="A33" s="104" t="s">
        <v>43</v>
      </c>
      <c r="B33" s="125"/>
      <c r="C33" s="126"/>
      <c r="D33" s="46"/>
      <c r="E33" s="46"/>
      <c r="F33" s="46"/>
      <c r="G33" s="69"/>
      <c r="H33" s="69"/>
      <c r="I33" s="46"/>
      <c r="J33" s="46"/>
      <c r="K33" s="46"/>
      <c r="L33" s="46"/>
      <c r="M33" s="46"/>
      <c r="N33" s="46"/>
      <c r="O33" s="46"/>
    </row>
    <row r="34" spans="1:18" ht="12.75" x14ac:dyDescent="0.2">
      <c r="A34" s="310" t="s">
        <v>44</v>
      </c>
      <c r="B34" s="127">
        <f>SUM(B30:B33)</f>
        <v>400</v>
      </c>
      <c r="C34" s="127">
        <f>SUM(C30:C33)</f>
        <v>0</v>
      </c>
      <c r="D34" s="46"/>
      <c r="E34" s="46"/>
      <c r="F34" s="46"/>
      <c r="G34" s="70" t="s">
        <v>332</v>
      </c>
      <c r="H34" s="46"/>
      <c r="I34" s="71"/>
      <c r="J34" s="72"/>
      <c r="K34" s="72"/>
      <c r="L34" s="73"/>
      <c r="M34" s="73"/>
      <c r="N34" s="46"/>
      <c r="O34" s="46"/>
    </row>
    <row r="35" spans="1:18" ht="21.75" customHeight="1" x14ac:dyDescent="0.2">
      <c r="A35" s="104" t="s">
        <v>45</v>
      </c>
      <c r="B35" s="125"/>
      <c r="C35" s="126"/>
      <c r="D35" s="46"/>
      <c r="E35" s="46"/>
      <c r="F35" s="46"/>
      <c r="G35" s="52" t="s">
        <v>181</v>
      </c>
      <c r="H35" s="52" t="s">
        <v>342</v>
      </c>
      <c r="I35" s="52" t="s">
        <v>379</v>
      </c>
      <c r="J35" s="52" t="s">
        <v>380</v>
      </c>
      <c r="K35" s="52"/>
      <c r="L35" s="52" t="s">
        <v>381</v>
      </c>
      <c r="M35" s="52"/>
      <c r="N35" s="52"/>
      <c r="O35" s="52"/>
      <c r="P35" s="53" t="s">
        <v>382</v>
      </c>
      <c r="Q35" s="52" t="s">
        <v>383</v>
      </c>
      <c r="R35" s="52" t="s">
        <v>384</v>
      </c>
    </row>
    <row r="36" spans="1:18" ht="38.25" x14ac:dyDescent="0.2">
      <c r="A36" s="104" t="s">
        <v>46</v>
      </c>
      <c r="B36" s="125"/>
      <c r="C36" s="126"/>
      <c r="D36" s="46"/>
      <c r="E36" s="46"/>
      <c r="F36" s="46"/>
      <c r="G36" s="54" t="s">
        <v>385</v>
      </c>
      <c r="H36" s="54" t="s">
        <v>386</v>
      </c>
      <c r="I36" s="56">
        <v>200</v>
      </c>
      <c r="J36" s="5">
        <v>100</v>
      </c>
      <c r="K36" s="5"/>
      <c r="L36" s="56">
        <v>100</v>
      </c>
      <c r="M36" s="56"/>
      <c r="N36" s="56"/>
      <c r="O36" s="56"/>
      <c r="P36" s="58">
        <f t="shared" ref="P36:P52" si="0">SUM(I36:L36)</f>
        <v>400</v>
      </c>
      <c r="Q36" s="58">
        <v>300</v>
      </c>
      <c r="R36" s="58">
        <v>100</v>
      </c>
    </row>
    <row r="37" spans="1:18" ht="12.75" x14ac:dyDescent="0.2">
      <c r="A37" s="104" t="s">
        <v>47</v>
      </c>
      <c r="B37" s="125"/>
      <c r="C37" s="126"/>
      <c r="D37" s="46"/>
      <c r="E37" s="46"/>
      <c r="F37" s="46"/>
      <c r="G37" s="64" t="s">
        <v>387</v>
      </c>
      <c r="H37" s="64" t="s">
        <v>388</v>
      </c>
      <c r="I37" s="6">
        <f>1.25*40*50</f>
        <v>2500</v>
      </c>
      <c r="J37" s="6"/>
      <c r="K37" s="6"/>
      <c r="L37" s="6"/>
      <c r="M37" s="6"/>
      <c r="N37" s="6"/>
      <c r="O37" s="6"/>
      <c r="P37" s="62">
        <f t="shared" si="0"/>
        <v>2500</v>
      </c>
      <c r="Q37" s="63">
        <f>IFERROR('[1]Budget Summary'!$C$14/'[1]Budget Summary'!$C$13*$I37,0)</f>
        <v>1548.0758318727073</v>
      </c>
      <c r="R37" s="63">
        <f>IFERROR((1-'[1]Budget Summary'!$C$14/'[1]Budget Summary'!$C$13)*$I37,0)</f>
        <v>951.92416812729277</v>
      </c>
    </row>
    <row r="38" spans="1:18" ht="12.75" x14ac:dyDescent="0.2">
      <c r="A38" s="104" t="s">
        <v>48</v>
      </c>
      <c r="B38" s="125"/>
      <c r="C38" s="126"/>
      <c r="D38" s="46"/>
      <c r="E38" s="46"/>
      <c r="F38" s="46"/>
      <c r="G38" s="64" t="s">
        <v>389</v>
      </c>
      <c r="H38" s="64" t="s">
        <v>390</v>
      </c>
      <c r="I38" s="6">
        <f>3*40*20</f>
        <v>2400</v>
      </c>
      <c r="J38" s="6"/>
      <c r="K38" s="6"/>
      <c r="L38" s="6"/>
      <c r="M38" s="6"/>
      <c r="N38" s="6"/>
      <c r="O38" s="6"/>
      <c r="P38" s="62">
        <f t="shared" si="0"/>
        <v>2400</v>
      </c>
      <c r="Q38" s="63">
        <f>IFERROR('[1]Budget Summary'!$C$14/'[1]Budget Summary'!$C$13*$I38,0)</f>
        <v>1486.1527985977989</v>
      </c>
      <c r="R38" s="63">
        <f>IFERROR((1-'[1]Budget Summary'!$C$14/'[1]Budget Summary'!$C$13)*$I38,0)</f>
        <v>913.84720140220099</v>
      </c>
    </row>
    <row r="39" spans="1:18" ht="12.75" x14ac:dyDescent="0.2">
      <c r="A39" s="104" t="s">
        <v>683</v>
      </c>
      <c r="B39" s="125"/>
      <c r="C39" s="126"/>
      <c r="D39" s="46"/>
      <c r="E39" s="46"/>
      <c r="F39" s="46"/>
      <c r="G39" s="64" t="s">
        <v>391</v>
      </c>
      <c r="H39" s="64" t="s">
        <v>392</v>
      </c>
      <c r="I39" s="6">
        <f>45*12*5</f>
        <v>2700</v>
      </c>
      <c r="J39" s="6"/>
      <c r="K39" s="6"/>
      <c r="L39" s="6"/>
      <c r="M39" s="6"/>
      <c r="N39" s="6"/>
      <c r="O39" s="6"/>
      <c r="P39" s="62">
        <f t="shared" si="0"/>
        <v>2700</v>
      </c>
      <c r="Q39" s="63">
        <f>IFERROR('[1]Budget Summary'!$C$14/'[1]Budget Summary'!$C$13*$I39,0)</f>
        <v>1671.9218984225238</v>
      </c>
      <c r="R39" s="63">
        <f>IFERROR((1-'[1]Budget Summary'!$C$14/'[1]Budget Summary'!$C$13)*$I39,0)</f>
        <v>1028.0781015774762</v>
      </c>
    </row>
    <row r="40" spans="1:18" ht="12.75" x14ac:dyDescent="0.2">
      <c r="A40" s="104" t="s">
        <v>684</v>
      </c>
      <c r="B40" s="125"/>
      <c r="C40" s="126"/>
      <c r="D40" s="46"/>
      <c r="E40" s="46"/>
      <c r="F40" s="46"/>
      <c r="G40" s="64" t="s">
        <v>393</v>
      </c>
      <c r="H40" s="64" t="s">
        <v>394</v>
      </c>
      <c r="I40" s="6">
        <f>5*40*25</f>
        <v>5000</v>
      </c>
      <c r="J40" s="6"/>
      <c r="K40" s="6"/>
      <c r="L40" s="6"/>
      <c r="M40" s="6"/>
      <c r="N40" s="6"/>
      <c r="O40" s="6"/>
      <c r="P40" s="62">
        <f t="shared" si="0"/>
        <v>5000</v>
      </c>
      <c r="Q40" s="63">
        <f>IFERROR('[1]Budget Summary'!$C$14/'[1]Budget Summary'!$C$13*$I40,0)</f>
        <v>3096.1516637454147</v>
      </c>
      <c r="R40" s="63">
        <f>IFERROR((1-'[1]Budget Summary'!$C$14/'[1]Budget Summary'!$C$13)*$I40,0)</f>
        <v>1903.8483362545855</v>
      </c>
    </row>
    <row r="41" spans="1:18" ht="12.75" x14ac:dyDescent="0.2">
      <c r="A41" s="104" t="s">
        <v>51</v>
      </c>
      <c r="B41" s="125"/>
      <c r="C41" s="126"/>
      <c r="D41" s="46"/>
      <c r="E41" s="46"/>
      <c r="F41" s="46"/>
      <c r="G41" s="64"/>
      <c r="H41" s="64"/>
      <c r="I41" s="6"/>
      <c r="J41" s="6"/>
      <c r="K41" s="6"/>
      <c r="L41" s="6"/>
      <c r="M41" s="6"/>
      <c r="N41" s="6"/>
      <c r="O41" s="6"/>
      <c r="P41" s="62">
        <f t="shared" si="0"/>
        <v>0</v>
      </c>
      <c r="Q41" s="63">
        <f>IFERROR('[1]Budget Summary'!$C$14/'[1]Budget Summary'!$C$13*$I41,0)</f>
        <v>0</v>
      </c>
      <c r="R41" s="63">
        <f>IFERROR((1-'[1]Budget Summary'!$C$14/'[1]Budget Summary'!$C$13)*$I41,0)</f>
        <v>0</v>
      </c>
    </row>
    <row r="42" spans="1:18" ht="12.75" x14ac:dyDescent="0.2">
      <c r="A42" s="104" t="s">
        <v>52</v>
      </c>
      <c r="B42" s="125"/>
      <c r="C42" s="126"/>
      <c r="D42" s="46"/>
      <c r="E42" s="46"/>
      <c r="F42" s="46"/>
      <c r="G42" s="64"/>
      <c r="H42" s="64"/>
      <c r="I42" s="6"/>
      <c r="J42" s="6"/>
      <c r="K42" s="6"/>
      <c r="L42" s="6"/>
      <c r="M42" s="6"/>
      <c r="N42" s="6"/>
      <c r="O42" s="6"/>
      <c r="P42" s="62">
        <f t="shared" si="0"/>
        <v>0</v>
      </c>
      <c r="Q42" s="63">
        <f>IFERROR('[1]Budget Summary'!$C$14/'[1]Budget Summary'!$C$13*$I42,0)</f>
        <v>0</v>
      </c>
      <c r="R42" s="63">
        <f>IFERROR((1-'[1]Budget Summary'!$C$14/'[1]Budget Summary'!$C$13)*$I42,0)</f>
        <v>0</v>
      </c>
    </row>
    <row r="43" spans="1:18" ht="12.75" x14ac:dyDescent="0.2">
      <c r="A43" s="104" t="s">
        <v>685</v>
      </c>
      <c r="B43" s="125"/>
      <c r="C43" s="126"/>
      <c r="D43" s="46"/>
      <c r="E43" s="46"/>
      <c r="F43" s="46"/>
      <c r="G43" s="64"/>
      <c r="H43" s="64"/>
      <c r="I43" s="6"/>
      <c r="J43" s="6"/>
      <c r="K43" s="6"/>
      <c r="L43" s="6"/>
      <c r="M43" s="6"/>
      <c r="N43" s="6"/>
      <c r="O43" s="6"/>
      <c r="P43" s="62">
        <f t="shared" si="0"/>
        <v>0</v>
      </c>
      <c r="Q43" s="63">
        <f>IFERROR('[1]Budget Summary'!$C$14/'[1]Budget Summary'!$C$13*$I43,0)</f>
        <v>0</v>
      </c>
      <c r="R43" s="63">
        <f>IFERROR((1-'[1]Budget Summary'!$C$14/'[1]Budget Summary'!$C$13)*$I43,0)</f>
        <v>0</v>
      </c>
    </row>
    <row r="44" spans="1:18" ht="12.75" x14ac:dyDescent="0.2">
      <c r="A44" s="104" t="s">
        <v>686</v>
      </c>
      <c r="B44" s="125"/>
      <c r="C44" s="126"/>
      <c r="D44" s="46"/>
      <c r="E44" s="46"/>
      <c r="F44" s="46"/>
      <c r="G44" s="64"/>
      <c r="H44" s="64"/>
      <c r="I44" s="6"/>
      <c r="J44" s="6"/>
      <c r="K44" s="6"/>
      <c r="L44" s="6"/>
      <c r="M44" s="6"/>
      <c r="N44" s="6"/>
      <c r="O44" s="6"/>
      <c r="P44" s="62">
        <f t="shared" si="0"/>
        <v>0</v>
      </c>
      <c r="Q44" s="63">
        <f>IFERROR('[1]Budget Summary'!$C$14/'[1]Budget Summary'!$C$13*$I44,0)</f>
        <v>0</v>
      </c>
      <c r="R44" s="63">
        <f>IFERROR((1-'[1]Budget Summary'!$C$14/'[1]Budget Summary'!$C$13)*$I44,0)</f>
        <v>0</v>
      </c>
    </row>
    <row r="45" spans="1:18" ht="12.75" x14ac:dyDescent="0.2">
      <c r="A45" s="104"/>
      <c r="B45" s="125"/>
      <c r="C45" s="126"/>
      <c r="D45" s="46"/>
      <c r="E45" s="46"/>
      <c r="F45" s="46"/>
      <c r="G45" s="64"/>
      <c r="H45" s="64"/>
      <c r="I45" s="6"/>
      <c r="J45" s="6"/>
      <c r="K45" s="6"/>
      <c r="L45" s="6"/>
      <c r="M45" s="6"/>
      <c r="N45" s="6"/>
      <c r="O45" s="6"/>
      <c r="P45" s="62">
        <f t="shared" si="0"/>
        <v>0</v>
      </c>
      <c r="Q45" s="63">
        <f>IFERROR('[1]Budget Summary'!$C$14/'[1]Budget Summary'!$C$13*$I45,0)</f>
        <v>0</v>
      </c>
      <c r="R45" s="63">
        <f>IFERROR((1-'[1]Budget Summary'!$C$14/'[1]Budget Summary'!$C$13)*$I45,0)</f>
        <v>0</v>
      </c>
    </row>
    <row r="46" spans="1:18" ht="12.75" x14ac:dyDescent="0.2">
      <c r="A46" s="310" t="s">
        <v>53</v>
      </c>
      <c r="B46" s="127">
        <f>SUM(B35:B45)</f>
        <v>0</v>
      </c>
      <c r="C46" s="127">
        <f>SUM(C35:C45)</f>
        <v>0</v>
      </c>
      <c r="D46" s="46"/>
      <c r="E46" s="46"/>
      <c r="F46" s="46"/>
      <c r="G46" s="64"/>
      <c r="H46" s="64"/>
      <c r="I46" s="6"/>
      <c r="J46" s="6"/>
      <c r="K46" s="6"/>
      <c r="L46" s="6"/>
      <c r="M46" s="6"/>
      <c r="N46" s="6"/>
      <c r="O46" s="6"/>
      <c r="P46" s="62">
        <f t="shared" si="0"/>
        <v>0</v>
      </c>
      <c r="Q46" s="63">
        <f>IFERROR('[1]Budget Summary'!$C$14/'[1]Budget Summary'!$C$13*$I46,0)</f>
        <v>0</v>
      </c>
      <c r="R46" s="63">
        <f>IFERROR((1-'[1]Budget Summary'!$C$14/'[1]Budget Summary'!$C$13)*$I46,0)</f>
        <v>0</v>
      </c>
    </row>
    <row r="47" spans="1:18" ht="12.75" x14ac:dyDescent="0.2">
      <c r="A47" s="311" t="s">
        <v>54</v>
      </c>
      <c r="B47" s="125"/>
      <c r="C47" s="126"/>
      <c r="D47" s="46"/>
      <c r="E47" s="46"/>
      <c r="F47" s="46"/>
      <c r="G47" s="64"/>
      <c r="H47" s="64"/>
      <c r="I47" s="6"/>
      <c r="J47" s="6"/>
      <c r="K47" s="6"/>
      <c r="L47" s="6"/>
      <c r="M47" s="6"/>
      <c r="N47" s="6"/>
      <c r="O47" s="6"/>
      <c r="P47" s="62">
        <f t="shared" si="0"/>
        <v>0</v>
      </c>
      <c r="Q47" s="63">
        <f>IFERROR('[1]Budget Summary'!$C$14/'[1]Budget Summary'!$C$13*$I47,0)</f>
        <v>0</v>
      </c>
      <c r="R47" s="63">
        <f>IFERROR((1-'[1]Budget Summary'!$C$14/'[1]Budget Summary'!$C$13)*$I47,0)</f>
        <v>0</v>
      </c>
    </row>
    <row r="48" spans="1:18" ht="12.75" x14ac:dyDescent="0.2">
      <c r="A48" s="311" t="s">
        <v>55</v>
      </c>
      <c r="B48" s="125"/>
      <c r="C48" s="126"/>
      <c r="D48" s="46"/>
      <c r="E48" s="46"/>
      <c r="F48" s="46"/>
      <c r="G48" s="64"/>
      <c r="H48" s="64"/>
      <c r="I48" s="6"/>
      <c r="J48" s="6"/>
      <c r="K48" s="6"/>
      <c r="L48" s="6"/>
      <c r="M48" s="6"/>
      <c r="N48" s="6"/>
      <c r="O48" s="6"/>
      <c r="P48" s="62">
        <f t="shared" si="0"/>
        <v>0</v>
      </c>
      <c r="Q48" s="63">
        <f>IFERROR('[1]Budget Summary'!$C$14/'[1]Budget Summary'!$C$13*$I48,0)</f>
        <v>0</v>
      </c>
      <c r="R48" s="63">
        <f>IFERROR((1-'[1]Budget Summary'!$C$14/'[1]Budget Summary'!$C$13)*$I48,0)</f>
        <v>0</v>
      </c>
    </row>
    <row r="49" spans="1:18" ht="12.75" x14ac:dyDescent="0.2">
      <c r="A49" s="311" t="s">
        <v>56</v>
      </c>
      <c r="B49" s="125"/>
      <c r="C49" s="126">
        <f>K30</f>
        <v>40000</v>
      </c>
      <c r="D49" s="46"/>
      <c r="E49" s="46"/>
      <c r="F49" s="46"/>
      <c r="G49" s="64"/>
      <c r="H49" s="64"/>
      <c r="I49" s="6"/>
      <c r="J49" s="6"/>
      <c r="K49" s="6"/>
      <c r="L49" s="6"/>
      <c r="M49" s="6"/>
      <c r="N49" s="6"/>
      <c r="O49" s="6"/>
      <c r="P49" s="62">
        <f t="shared" si="0"/>
        <v>0</v>
      </c>
      <c r="Q49" s="63">
        <f>IFERROR('[1]Budget Summary'!$C$14/'[1]Budget Summary'!$C$13*$I49,0)</f>
        <v>0</v>
      </c>
      <c r="R49" s="63">
        <f>IFERROR((1-'[1]Budget Summary'!$C$14/'[1]Budget Summary'!$C$13)*$I49,0)</f>
        <v>0</v>
      </c>
    </row>
    <row r="50" spans="1:18" ht="22.5" x14ac:dyDescent="0.2">
      <c r="A50" s="311" t="s">
        <v>57</v>
      </c>
      <c r="B50" s="125"/>
      <c r="C50" s="126"/>
      <c r="D50" s="46"/>
      <c r="E50" s="46"/>
      <c r="F50" s="46"/>
      <c r="G50" s="64"/>
      <c r="H50" s="64"/>
      <c r="I50" s="6"/>
      <c r="J50" s="6"/>
      <c r="K50" s="6"/>
      <c r="L50" s="6"/>
      <c r="M50" s="6"/>
      <c r="N50" s="6"/>
      <c r="O50" s="6"/>
      <c r="P50" s="62">
        <f t="shared" si="0"/>
        <v>0</v>
      </c>
      <c r="Q50" s="63">
        <f>IFERROR('[1]Budget Summary'!$C$14/'[1]Budget Summary'!$C$13*$I50,0)</f>
        <v>0</v>
      </c>
      <c r="R50" s="63">
        <f>IFERROR((1-'[1]Budget Summary'!$C$14/'[1]Budget Summary'!$C$13)*$I50,0)</f>
        <v>0</v>
      </c>
    </row>
    <row r="51" spans="1:18" ht="12.75" x14ac:dyDescent="0.2">
      <c r="A51" s="310" t="s">
        <v>58</v>
      </c>
      <c r="B51" s="127">
        <f>SUM(B47:B50)</f>
        <v>0</v>
      </c>
      <c r="C51" s="127">
        <f>SUM(C47:C50)</f>
        <v>40000</v>
      </c>
      <c r="D51" s="46"/>
      <c r="E51" s="46"/>
      <c r="F51" s="46"/>
      <c r="G51" s="64"/>
      <c r="H51" s="64"/>
      <c r="I51" s="6"/>
      <c r="J51" s="6"/>
      <c r="K51" s="6"/>
      <c r="L51" s="6"/>
      <c r="M51" s="6"/>
      <c r="N51" s="6"/>
      <c r="O51" s="6"/>
      <c r="P51" s="62">
        <f t="shared" si="0"/>
        <v>0</v>
      </c>
      <c r="Q51" s="63">
        <f>IFERROR('[1]Budget Summary'!$C$14/'[1]Budget Summary'!$C$13*$I51,0)</f>
        <v>0</v>
      </c>
      <c r="R51" s="63">
        <f>IFERROR((1-'[1]Budget Summary'!$C$14/'[1]Budget Summary'!$C$13)*$I51,0)</f>
        <v>0</v>
      </c>
    </row>
    <row r="52" spans="1:18" ht="23.25" thickBot="1" x14ac:dyDescent="0.25">
      <c r="A52" s="311" t="s">
        <v>59</v>
      </c>
      <c r="B52" s="125"/>
      <c r="C52" s="126"/>
      <c r="D52" s="46"/>
      <c r="E52" s="46"/>
      <c r="F52" s="46"/>
      <c r="G52" s="64"/>
      <c r="H52" s="64"/>
      <c r="I52" s="6"/>
      <c r="J52" s="6"/>
      <c r="K52" s="6"/>
      <c r="L52" s="6"/>
      <c r="M52" s="11"/>
      <c r="N52" s="11"/>
      <c r="O52" s="11"/>
      <c r="P52" s="65">
        <f t="shared" si="0"/>
        <v>0</v>
      </c>
      <c r="Q52" s="66">
        <f>IFERROR('[1]Budget Summary'!$C$14/'[1]Budget Summary'!$C$13*$I52,0)</f>
        <v>0</v>
      </c>
      <c r="R52" s="66">
        <f>IFERROR((1-'[1]Budget Summary'!$C$14/'[1]Budget Summary'!$C$13)*$I52,0)</f>
        <v>0</v>
      </c>
    </row>
    <row r="53" spans="1:18" ht="23.25" thickTop="1" x14ac:dyDescent="0.2">
      <c r="A53" s="311" t="s">
        <v>60</v>
      </c>
      <c r="B53" s="125">
        <v>600</v>
      </c>
      <c r="C53" s="126"/>
      <c r="D53" s="46"/>
      <c r="E53" s="46"/>
      <c r="F53" s="46"/>
      <c r="G53" s="74"/>
      <c r="H53" s="67"/>
      <c r="I53" s="7"/>
      <c r="L53" s="67" t="s">
        <v>378</v>
      </c>
      <c r="M53" s="67"/>
      <c r="N53" s="67"/>
      <c r="O53" s="67"/>
      <c r="P53" s="8">
        <f>SUM(I37:L52)</f>
        <v>12600</v>
      </c>
      <c r="Q53" s="9">
        <f>IFERROR('[1]Budget Summary'!$C$14/'[1]Budget Summary'!$C$13*$I53,0)</f>
        <v>0</v>
      </c>
      <c r="R53" s="68">
        <f>IFERROR((1-'[1]Budget Summary'!$C$14/'[1]Budget Summary'!$C$13)*$I53,0)</f>
        <v>0</v>
      </c>
    </row>
    <row r="54" spans="1:18" ht="12.75" x14ac:dyDescent="0.2">
      <c r="A54" s="311" t="s">
        <v>61</v>
      </c>
      <c r="B54" s="125">
        <v>700</v>
      </c>
      <c r="C54" s="126"/>
      <c r="D54" s="46"/>
      <c r="E54" s="46"/>
      <c r="F54" s="46"/>
      <c r="G54" s="46"/>
      <c r="H54" s="46"/>
      <c r="I54" s="67"/>
      <c r="J54" s="73"/>
      <c r="K54" s="73"/>
      <c r="L54" s="73"/>
      <c r="M54" s="73"/>
      <c r="N54" s="73"/>
      <c r="O54" s="73"/>
      <c r="P54" s="46"/>
    </row>
    <row r="55" spans="1:18" ht="12.75" x14ac:dyDescent="0.2">
      <c r="A55" s="99" t="s">
        <v>62</v>
      </c>
      <c r="B55" s="128">
        <f>(B54+B53+B52+B51+B46+B34)</f>
        <v>1700</v>
      </c>
      <c r="C55" s="128">
        <f>(C54+C53+C52+C51+C46+C34)</f>
        <v>40000</v>
      </c>
      <c r="D55" s="46"/>
      <c r="E55" s="46"/>
      <c r="F55" s="46"/>
      <c r="G55" s="70" t="s">
        <v>395</v>
      </c>
      <c r="H55" s="46"/>
      <c r="I55" s="71"/>
      <c r="J55" s="72"/>
      <c r="K55" s="72"/>
      <c r="L55" s="73"/>
      <c r="M55" s="73"/>
      <c r="N55" s="73"/>
      <c r="O55" s="73"/>
      <c r="P55" s="46"/>
    </row>
    <row r="56" spans="1:18" ht="19.5" customHeight="1" x14ac:dyDescent="0.2">
      <c r="A56" s="100" t="s">
        <v>63</v>
      </c>
      <c r="B56" s="129"/>
      <c r="C56" s="129"/>
      <c r="D56" s="361" t="s">
        <v>740</v>
      </c>
      <c r="E56" s="361"/>
      <c r="F56" s="361"/>
      <c r="G56" s="52" t="s">
        <v>396</v>
      </c>
      <c r="H56" s="52" t="s">
        <v>342</v>
      </c>
      <c r="I56" s="52" t="s">
        <v>397</v>
      </c>
      <c r="J56" s="52" t="s">
        <v>398</v>
      </c>
      <c r="K56" s="52"/>
      <c r="L56" s="52" t="s">
        <v>399</v>
      </c>
      <c r="M56" s="52"/>
      <c r="N56" s="52"/>
      <c r="O56" s="52"/>
      <c r="P56" s="53" t="s">
        <v>400</v>
      </c>
      <c r="Q56" s="52" t="s">
        <v>401</v>
      </c>
      <c r="R56" s="52" t="s">
        <v>402</v>
      </c>
    </row>
    <row r="57" spans="1:18" ht="13.5" thickBot="1" x14ac:dyDescent="0.25">
      <c r="A57" s="101" t="s">
        <v>64</v>
      </c>
      <c r="B57" s="130">
        <v>0</v>
      </c>
      <c r="C57" s="130">
        <v>100000</v>
      </c>
      <c r="D57" s="361" t="s">
        <v>152</v>
      </c>
      <c r="E57" s="361" t="s">
        <v>741</v>
      </c>
      <c r="F57" s="361">
        <v>16000</v>
      </c>
    </row>
    <row r="58" spans="1:18" ht="12.75" x14ac:dyDescent="0.2">
      <c r="A58" s="101" t="s">
        <v>65</v>
      </c>
      <c r="B58" s="130">
        <v>0</v>
      </c>
      <c r="C58" s="130">
        <f>E64*C57</f>
        <v>4000</v>
      </c>
      <c r="D58" s="361"/>
      <c r="E58" s="361"/>
      <c r="F58" s="361"/>
      <c r="G58" s="64" t="s">
        <v>403</v>
      </c>
      <c r="H58" s="298" t="s">
        <v>404</v>
      </c>
      <c r="I58" s="301">
        <f>300*2</f>
        <v>600</v>
      </c>
      <c r="J58" s="299">
        <f>300*12</f>
        <v>3600</v>
      </c>
      <c r="K58" s="6"/>
      <c r="L58" s="6">
        <f>300*12/2</f>
        <v>1800</v>
      </c>
      <c r="M58" s="6"/>
      <c r="N58" s="6"/>
      <c r="O58" s="6"/>
      <c r="P58" s="62">
        <f t="shared" ref="P58:P71" si="1">SUM(I58:L58)</f>
        <v>6000</v>
      </c>
      <c r="Q58" s="63">
        <f>P58</f>
        <v>6000</v>
      </c>
      <c r="R58" s="63">
        <v>0</v>
      </c>
    </row>
    <row r="59" spans="1:18" ht="13.5" thickBot="1" x14ac:dyDescent="0.25">
      <c r="A59" s="101" t="s">
        <v>66</v>
      </c>
      <c r="B59" s="130">
        <v>0</v>
      </c>
      <c r="C59" s="130">
        <v>0</v>
      </c>
      <c r="D59" s="361" t="s">
        <v>185</v>
      </c>
      <c r="E59" s="362">
        <v>0.03</v>
      </c>
      <c r="F59" s="361">
        <f>E59*F57</f>
        <v>480</v>
      </c>
      <c r="G59" s="64" t="s">
        <v>405</v>
      </c>
      <c r="H59" s="298" t="s">
        <v>404</v>
      </c>
      <c r="I59" s="302">
        <f>300*2</f>
        <v>600</v>
      </c>
      <c r="J59" s="299">
        <f>300*12</f>
        <v>3600</v>
      </c>
      <c r="K59" s="6"/>
      <c r="L59" s="6">
        <f>300*12/2</f>
        <v>1800</v>
      </c>
      <c r="M59" s="6"/>
      <c r="N59" s="6"/>
      <c r="O59" s="6"/>
      <c r="P59" s="62">
        <f t="shared" si="1"/>
        <v>6000</v>
      </c>
      <c r="Q59" s="63">
        <f>P59</f>
        <v>6000</v>
      </c>
      <c r="R59" s="63">
        <v>0</v>
      </c>
    </row>
    <row r="60" spans="1:18" ht="12.75" x14ac:dyDescent="0.2">
      <c r="A60" s="101" t="s">
        <v>67</v>
      </c>
      <c r="B60" s="130">
        <v>0</v>
      </c>
      <c r="C60" s="130">
        <v>0</v>
      </c>
      <c r="D60" s="361" t="s">
        <v>198</v>
      </c>
      <c r="E60" s="362">
        <v>7.6499999999999999E-2</v>
      </c>
      <c r="F60" s="361">
        <f>E60*F57</f>
        <v>1224</v>
      </c>
      <c r="G60" s="64"/>
      <c r="H60" s="64"/>
      <c r="I60" s="300"/>
      <c r="J60" s="6"/>
      <c r="K60" s="6"/>
      <c r="L60" s="6"/>
      <c r="M60" s="6"/>
      <c r="N60" s="6"/>
      <c r="O60" s="6"/>
      <c r="P60" s="62">
        <f t="shared" si="1"/>
        <v>0</v>
      </c>
      <c r="Q60" s="63">
        <f>IFERROR('[1]Budget Summary'!$C$14/'[1]Budget Summary'!$C$13*$I60,0)</f>
        <v>0</v>
      </c>
      <c r="R60" s="63">
        <f>IFERROR((1-'[1]Budget Summary'!$C$14/'[1]Budget Summary'!$C$13)*$I60,0)</f>
        <v>0</v>
      </c>
    </row>
    <row r="61" spans="1:18" ht="12.75" x14ac:dyDescent="0.2">
      <c r="A61" s="102" t="s">
        <v>68</v>
      </c>
      <c r="B61" s="131">
        <f>SUM(B57:B60)</f>
        <v>0</v>
      </c>
      <c r="C61" s="131">
        <f>SUM(C57:C60)</f>
        <v>104000</v>
      </c>
      <c r="D61" s="361" t="s">
        <v>209</v>
      </c>
      <c r="E61" s="362">
        <v>0.01</v>
      </c>
      <c r="F61" s="361">
        <f>E61*F57</f>
        <v>160</v>
      </c>
      <c r="G61" s="75" t="s">
        <v>406</v>
      </c>
      <c r="H61" s="76"/>
      <c r="I61" s="10"/>
      <c r="J61" s="10"/>
      <c r="K61" s="10"/>
      <c r="L61" s="10"/>
      <c r="M61" s="10"/>
      <c r="N61" s="10"/>
      <c r="O61" s="10"/>
      <c r="P61" s="62">
        <f t="shared" si="1"/>
        <v>0</v>
      </c>
      <c r="Q61" s="62">
        <f>IFERROR('[1]Budget Summary'!$C$14/'[1]Budget Summary'!$C$13*$I61,0)</f>
        <v>0</v>
      </c>
      <c r="R61" s="62">
        <f>IFERROR((1-'[1]Budget Summary'!$C$14/'[1]Budget Summary'!$C$13)*$I61,0)</f>
        <v>0</v>
      </c>
    </row>
    <row r="62" spans="1:18" ht="12.75" x14ac:dyDescent="0.2">
      <c r="A62" s="101" t="s">
        <v>69</v>
      </c>
      <c r="B62" s="130">
        <v>0</v>
      </c>
      <c r="C62" s="130">
        <f>E61*C57</f>
        <v>1000</v>
      </c>
      <c r="D62" s="361" t="s">
        <v>221</v>
      </c>
      <c r="E62" s="362">
        <v>1.4999999999999999E-2</v>
      </c>
      <c r="F62" s="361">
        <f>E62*F57</f>
        <v>240</v>
      </c>
      <c r="G62" s="76" t="s">
        <v>407</v>
      </c>
      <c r="H62" s="76" t="s">
        <v>408</v>
      </c>
      <c r="I62" s="10">
        <f>15000</f>
        <v>15000</v>
      </c>
      <c r="J62" s="10">
        <f>15000</f>
        <v>15000</v>
      </c>
      <c r="K62" s="10"/>
      <c r="L62" s="10">
        <f>15000/2</f>
        <v>7500</v>
      </c>
      <c r="M62" s="10"/>
      <c r="N62" s="10"/>
      <c r="O62" s="10"/>
      <c r="P62" s="62">
        <f t="shared" si="1"/>
        <v>37500</v>
      </c>
      <c r="Q62" s="62">
        <v>0</v>
      </c>
      <c r="R62" s="62">
        <f t="shared" ref="R62:R65" si="2">P62</f>
        <v>37500</v>
      </c>
    </row>
    <row r="63" spans="1:18" ht="25.5" x14ac:dyDescent="0.2">
      <c r="A63" s="101" t="s">
        <v>70</v>
      </c>
      <c r="B63" s="130">
        <v>0</v>
      </c>
      <c r="C63" s="130">
        <f>E60*C57</f>
        <v>7650</v>
      </c>
      <c r="D63" s="361" t="s">
        <v>229</v>
      </c>
      <c r="E63" s="362">
        <v>0.04</v>
      </c>
      <c r="F63" s="361">
        <f>E63*F57</f>
        <v>640</v>
      </c>
      <c r="G63" s="76" t="s">
        <v>409</v>
      </c>
      <c r="H63" s="76" t="s">
        <v>410</v>
      </c>
      <c r="I63" s="10">
        <v>35000</v>
      </c>
      <c r="J63" s="10">
        <v>35000</v>
      </c>
      <c r="K63" s="10"/>
      <c r="L63" s="10">
        <f>65000/2</f>
        <v>32500</v>
      </c>
      <c r="M63" s="10"/>
      <c r="N63" s="10"/>
      <c r="O63" s="10"/>
      <c r="P63" s="62">
        <f t="shared" si="1"/>
        <v>102500</v>
      </c>
      <c r="Q63" s="62">
        <v>0</v>
      </c>
      <c r="R63" s="62">
        <f t="shared" si="2"/>
        <v>102500</v>
      </c>
    </row>
    <row r="64" spans="1:18" ht="12.75" x14ac:dyDescent="0.2">
      <c r="A64" s="101" t="s">
        <v>71</v>
      </c>
      <c r="B64" s="130">
        <v>0</v>
      </c>
      <c r="C64" s="130">
        <f>E62*C57</f>
        <v>1500</v>
      </c>
      <c r="D64" s="361" t="s">
        <v>240</v>
      </c>
      <c r="E64" s="362">
        <v>0.04</v>
      </c>
      <c r="F64" s="361">
        <f>E64*F57</f>
        <v>640</v>
      </c>
      <c r="G64" s="76" t="s">
        <v>411</v>
      </c>
      <c r="H64" s="76" t="s">
        <v>412</v>
      </c>
      <c r="I64" s="10">
        <v>15000</v>
      </c>
      <c r="J64" s="10">
        <v>15000</v>
      </c>
      <c r="K64" s="10"/>
      <c r="L64" s="10">
        <f>7500/2</f>
        <v>3750</v>
      </c>
      <c r="M64" s="10"/>
      <c r="N64" s="10"/>
      <c r="O64" s="10"/>
      <c r="P64" s="62">
        <f t="shared" si="1"/>
        <v>33750</v>
      </c>
      <c r="Q64" s="62">
        <v>0</v>
      </c>
      <c r="R64" s="62">
        <f t="shared" si="2"/>
        <v>33750</v>
      </c>
    </row>
    <row r="65" spans="1:18" ht="12.75" x14ac:dyDescent="0.2">
      <c r="A65" s="102" t="s">
        <v>72</v>
      </c>
      <c r="B65" s="131">
        <f>SUM(B62:B64)</f>
        <v>0</v>
      </c>
      <c r="C65" s="131">
        <f>SUM(C62:C64)</f>
        <v>10150</v>
      </c>
      <c r="D65" s="361" t="s">
        <v>247</v>
      </c>
      <c r="E65" s="362">
        <v>3.85E-2</v>
      </c>
      <c r="F65" s="361">
        <f>E65*F57</f>
        <v>616</v>
      </c>
      <c r="G65" s="76" t="s">
        <v>413</v>
      </c>
      <c r="H65" s="76" t="s">
        <v>414</v>
      </c>
      <c r="I65" s="10">
        <v>5000</v>
      </c>
      <c r="J65" s="10">
        <v>5000</v>
      </c>
      <c r="K65" s="10"/>
      <c r="L65" s="10">
        <f>5000/2</f>
        <v>2500</v>
      </c>
      <c r="M65" s="10"/>
      <c r="N65" s="10"/>
      <c r="O65" s="10"/>
      <c r="P65" s="62">
        <f t="shared" si="1"/>
        <v>12500</v>
      </c>
      <c r="Q65" s="62">
        <v>0</v>
      </c>
      <c r="R65" s="62">
        <f t="shared" si="2"/>
        <v>12500</v>
      </c>
    </row>
    <row r="66" spans="1:18" ht="25.5" x14ac:dyDescent="0.2">
      <c r="A66" s="101" t="s">
        <v>73</v>
      </c>
      <c r="B66" s="130">
        <v>0</v>
      </c>
      <c r="C66" s="130">
        <v>0</v>
      </c>
      <c r="D66" s="361" t="s">
        <v>743</v>
      </c>
      <c r="E66" s="363">
        <v>4.0000000000000001E-3</v>
      </c>
      <c r="F66" s="361">
        <f>E66*F57</f>
        <v>64</v>
      </c>
      <c r="G66" s="76" t="s">
        <v>415</v>
      </c>
      <c r="H66" s="76" t="s">
        <v>416</v>
      </c>
      <c r="I66" s="10">
        <v>9000</v>
      </c>
      <c r="J66" s="10">
        <v>9000</v>
      </c>
      <c r="K66" s="10"/>
      <c r="L66" s="10">
        <f>9000/2</f>
        <v>4500</v>
      </c>
      <c r="M66" s="10"/>
      <c r="N66" s="10"/>
      <c r="O66" s="10"/>
      <c r="P66" s="62">
        <f t="shared" si="1"/>
        <v>22500</v>
      </c>
      <c r="Q66" s="62">
        <v>0</v>
      </c>
      <c r="R66" s="62">
        <f>P66</f>
        <v>22500</v>
      </c>
    </row>
    <row r="67" spans="1:18" ht="22.5" x14ac:dyDescent="0.2">
      <c r="A67" s="101" t="s">
        <v>74</v>
      </c>
      <c r="B67" s="130">
        <v>0</v>
      </c>
      <c r="C67" s="130">
        <f>E59*C57</f>
        <v>3000</v>
      </c>
      <c r="D67" s="361"/>
      <c r="E67" s="364"/>
      <c r="F67" s="361"/>
      <c r="G67" s="76" t="s">
        <v>417</v>
      </c>
      <c r="H67" s="76" t="s">
        <v>418</v>
      </c>
      <c r="I67" s="10">
        <v>0</v>
      </c>
      <c r="J67" s="10">
        <f>500*25</f>
        <v>12500</v>
      </c>
      <c r="K67" s="10"/>
      <c r="L67" s="10">
        <f>250*25</f>
        <v>6250</v>
      </c>
      <c r="M67" s="10"/>
      <c r="N67" s="10"/>
      <c r="O67" s="10"/>
      <c r="P67" s="62">
        <f t="shared" si="1"/>
        <v>18750</v>
      </c>
      <c r="Q67" s="62">
        <v>0</v>
      </c>
      <c r="R67" s="62">
        <f t="shared" ref="R67:R68" si="3">P67</f>
        <v>18750</v>
      </c>
    </row>
    <row r="68" spans="1:18" ht="25.5" x14ac:dyDescent="0.2">
      <c r="A68" s="101" t="s">
        <v>75</v>
      </c>
      <c r="B68" s="130">
        <v>0</v>
      </c>
      <c r="C68" s="130">
        <f>(E65+E63)*C57</f>
        <v>7850</v>
      </c>
      <c r="D68" s="361" t="s">
        <v>257</v>
      </c>
      <c r="E68" s="365">
        <f>SUM(E59:E67)</f>
        <v>0.254</v>
      </c>
      <c r="F68" s="361"/>
      <c r="G68" s="76" t="s">
        <v>419</v>
      </c>
      <c r="H68" s="76" t="s">
        <v>420</v>
      </c>
      <c r="I68" s="10">
        <f>24.69*450</f>
        <v>11110.5</v>
      </c>
      <c r="J68" s="10">
        <f>24.69*450</f>
        <v>11110.5</v>
      </c>
      <c r="K68" s="10"/>
      <c r="L68" s="10">
        <f>24.69*450/2</f>
        <v>5555.25</v>
      </c>
      <c r="M68" s="10"/>
      <c r="N68" s="10"/>
      <c r="O68" s="10"/>
      <c r="P68" s="62">
        <f t="shared" si="1"/>
        <v>27776.25</v>
      </c>
      <c r="Q68" s="62">
        <v>0</v>
      </c>
      <c r="R68" s="62">
        <f t="shared" si="3"/>
        <v>27776.25</v>
      </c>
    </row>
    <row r="69" spans="1:18" ht="25.5" x14ac:dyDescent="0.2">
      <c r="A69" s="101" t="s">
        <v>76</v>
      </c>
      <c r="B69" s="130">
        <v>0</v>
      </c>
      <c r="C69" s="130">
        <v>0</v>
      </c>
      <c r="D69" s="46"/>
      <c r="E69" s="46"/>
      <c r="F69" s="46"/>
      <c r="G69" s="76" t="s">
        <v>421</v>
      </c>
      <c r="H69" s="76" t="s">
        <v>422</v>
      </c>
      <c r="I69" s="10">
        <f>15*1500/12*2</f>
        <v>3750</v>
      </c>
      <c r="J69" s="10">
        <f>1500*15</f>
        <v>22500</v>
      </c>
      <c r="K69" s="10"/>
      <c r="L69" s="10">
        <f>1500*15</f>
        <v>22500</v>
      </c>
      <c r="M69" s="10"/>
      <c r="N69" s="10"/>
      <c r="O69" s="10"/>
      <c r="P69" s="62">
        <f t="shared" si="1"/>
        <v>48750</v>
      </c>
      <c r="Q69" s="62">
        <v>0</v>
      </c>
      <c r="R69" s="62">
        <v>48750</v>
      </c>
    </row>
    <row r="70" spans="1:18" ht="12.75" x14ac:dyDescent="0.2">
      <c r="A70" s="102" t="s">
        <v>77</v>
      </c>
      <c r="B70" s="131">
        <f>SUM(B66:B69)</f>
        <v>0</v>
      </c>
      <c r="C70" s="131">
        <f>SUM(C66:C69)</f>
        <v>10850</v>
      </c>
      <c r="D70" s="46"/>
      <c r="E70" s="46"/>
      <c r="F70" s="46"/>
      <c r="G70" s="76"/>
      <c r="H70" s="76"/>
      <c r="I70" s="10"/>
      <c r="J70" s="10"/>
      <c r="K70" s="10"/>
      <c r="L70" s="10"/>
      <c r="M70" s="10"/>
      <c r="N70" s="10"/>
      <c r="O70" s="10"/>
      <c r="P70" s="62">
        <f t="shared" si="1"/>
        <v>0</v>
      </c>
      <c r="Q70" s="62">
        <v>0</v>
      </c>
      <c r="R70" s="62">
        <f>IFERROR((1-'[1]Budget Summary'!$C$14/'[1]Budget Summary'!$C$13)*$I70,0)</f>
        <v>0</v>
      </c>
    </row>
    <row r="71" spans="1:18" ht="12.75" x14ac:dyDescent="0.2">
      <c r="A71" s="100" t="s">
        <v>78</v>
      </c>
      <c r="B71" s="132">
        <f>SUM(B61+B65+B70)</f>
        <v>0</v>
      </c>
      <c r="C71" s="132">
        <f>SUM(C61+C65+C70)</f>
        <v>125000</v>
      </c>
      <c r="D71" s="46"/>
      <c r="E71" s="46"/>
      <c r="F71" s="46"/>
      <c r="G71" s="64"/>
      <c r="H71" s="64"/>
      <c r="I71" s="6"/>
      <c r="J71" s="6"/>
      <c r="K71" s="6"/>
      <c r="L71" s="6"/>
      <c r="M71" s="6"/>
      <c r="N71" s="6"/>
      <c r="O71" s="6"/>
      <c r="P71" s="62">
        <f t="shared" si="1"/>
        <v>0</v>
      </c>
      <c r="Q71" s="63">
        <v>0</v>
      </c>
      <c r="R71" s="63">
        <f>IFERROR((1-'[1]Budget Summary'!$C$14/'[1]Budget Summary'!$C$13)*$I71,0)</f>
        <v>0</v>
      </c>
    </row>
    <row r="72" spans="1:18" ht="13.5" thickBot="1" x14ac:dyDescent="0.25">
      <c r="A72" s="105" t="s">
        <v>79</v>
      </c>
      <c r="B72" s="133"/>
      <c r="C72" s="133"/>
      <c r="D72" s="46"/>
      <c r="E72" s="46"/>
      <c r="F72" s="46"/>
      <c r="G72" s="64"/>
      <c r="H72" s="64"/>
      <c r="I72" s="10"/>
      <c r="J72" s="10"/>
      <c r="K72" s="10"/>
      <c r="L72" s="10"/>
      <c r="M72" s="12"/>
      <c r="N72" s="12"/>
      <c r="O72" s="12"/>
      <c r="P72" s="65"/>
      <c r="Q72" s="66"/>
      <c r="R72" s="66"/>
    </row>
    <row r="73" spans="1:18" ht="13.5" thickTop="1" x14ac:dyDescent="0.2">
      <c r="A73" s="308" t="s">
        <v>80</v>
      </c>
      <c r="B73" s="134">
        <v>0</v>
      </c>
      <c r="C73" s="134"/>
      <c r="D73" s="46"/>
      <c r="E73" s="46"/>
      <c r="F73" s="46"/>
      <c r="G73" s="77"/>
      <c r="H73" s="67"/>
      <c r="I73" s="7"/>
      <c r="K73" s="29">
        <f>SUM(I59+I58+I40+I39+I38+I37+K30+K25)</f>
        <v>178800</v>
      </c>
      <c r="L73" s="67" t="s">
        <v>378</v>
      </c>
      <c r="M73" s="67"/>
      <c r="N73" s="67"/>
      <c r="O73" s="67"/>
      <c r="P73" s="68">
        <f>SUM(P58:P72)</f>
        <v>316026.25</v>
      </c>
      <c r="Q73" s="68">
        <f>SUM(Q58:Q72)</f>
        <v>12000</v>
      </c>
      <c r="R73" s="68">
        <f>SUM(R58:R72)</f>
        <v>304026.25</v>
      </c>
    </row>
    <row r="74" spans="1:18" ht="12.75" x14ac:dyDescent="0.2">
      <c r="A74" s="106" t="s">
        <v>81</v>
      </c>
      <c r="B74" s="134">
        <v>0</v>
      </c>
      <c r="C74" s="134"/>
    </row>
    <row r="75" spans="1:18" ht="12.75" x14ac:dyDescent="0.2">
      <c r="A75" s="106" t="s">
        <v>82</v>
      </c>
      <c r="B75" s="134">
        <v>0</v>
      </c>
      <c r="C75" s="134"/>
    </row>
    <row r="76" spans="1:18" ht="22.5" x14ac:dyDescent="0.2">
      <c r="A76" s="105" t="s">
        <v>83</v>
      </c>
      <c r="B76" s="135">
        <f>SUM(B72:B75)</f>
        <v>0</v>
      </c>
      <c r="C76" s="135">
        <v>0</v>
      </c>
      <c r="G76" s="78"/>
      <c r="H76" s="79"/>
      <c r="I76" s="79"/>
      <c r="J76" s="79"/>
      <c r="K76" s="79"/>
      <c r="L76" s="79"/>
      <c r="M76" s="79"/>
      <c r="N76" s="79"/>
      <c r="O76" s="79"/>
      <c r="P76" s="79"/>
    </row>
    <row r="77" spans="1:18" ht="12.75" x14ac:dyDescent="0.2">
      <c r="A77" s="107" t="s">
        <v>84</v>
      </c>
      <c r="B77" s="136">
        <v>500</v>
      </c>
      <c r="C77" s="136"/>
      <c r="G77" s="79"/>
      <c r="H77" s="79"/>
      <c r="I77" s="79"/>
      <c r="J77" s="79"/>
      <c r="K77" s="79"/>
      <c r="L77" s="80" t="s">
        <v>335</v>
      </c>
      <c r="M77" s="80"/>
      <c r="N77" s="13">
        <f>'[1]Budget Summary'!G89</f>
        <v>0</v>
      </c>
      <c r="O77" s="275"/>
      <c r="P77" s="79"/>
    </row>
    <row r="78" spans="1:18" ht="12.75" x14ac:dyDescent="0.2">
      <c r="A78" s="108" t="s">
        <v>85</v>
      </c>
      <c r="B78" s="137">
        <v>300</v>
      </c>
      <c r="C78" s="137"/>
      <c r="G78" s="81"/>
      <c r="H78" s="82" t="s">
        <v>423</v>
      </c>
      <c r="I78" s="81"/>
      <c r="J78" s="81"/>
      <c r="K78" s="81"/>
      <c r="L78" s="81"/>
      <c r="M78" s="81"/>
      <c r="N78" s="83"/>
      <c r="O78" s="83"/>
      <c r="P78" s="79"/>
    </row>
    <row r="79" spans="1:18" ht="14.25" customHeight="1" x14ac:dyDescent="0.2">
      <c r="A79" s="108" t="s">
        <v>744</v>
      </c>
      <c r="B79" s="137">
        <v>500</v>
      </c>
      <c r="C79" s="137"/>
      <c r="G79" s="81"/>
      <c r="H79" s="624" t="s">
        <v>424</v>
      </c>
      <c r="I79" s="625"/>
      <c r="J79" s="626"/>
      <c r="K79" s="84"/>
      <c r="L79" s="85" t="s">
        <v>425</v>
      </c>
      <c r="M79" s="85"/>
      <c r="N79" s="85" t="s">
        <v>426</v>
      </c>
      <c r="O79" s="276"/>
      <c r="P79" s="86"/>
    </row>
    <row r="80" spans="1:18" ht="12.75" x14ac:dyDescent="0.2">
      <c r="A80" s="109" t="s">
        <v>86</v>
      </c>
      <c r="B80" s="138"/>
      <c r="C80" s="138"/>
      <c r="G80" s="81"/>
      <c r="H80" s="627" t="s">
        <v>427</v>
      </c>
      <c r="I80" s="628"/>
      <c r="J80" s="629"/>
      <c r="K80" s="87"/>
      <c r="L80" s="88">
        <v>1000</v>
      </c>
      <c r="M80" s="88"/>
      <c r="N80" s="89">
        <v>0.16700000000000001</v>
      </c>
      <c r="O80" s="277"/>
      <c r="P80" s="79"/>
    </row>
    <row r="81" spans="1:16" ht="12.75" x14ac:dyDescent="0.2">
      <c r="A81" s="110" t="s">
        <v>87</v>
      </c>
      <c r="B81" s="139">
        <v>800</v>
      </c>
      <c r="C81" s="140"/>
      <c r="G81" s="81"/>
      <c r="H81" s="621"/>
      <c r="I81" s="622"/>
      <c r="J81" s="623"/>
      <c r="K81" s="90"/>
      <c r="L81" s="14"/>
      <c r="M81" s="14"/>
      <c r="N81" s="13">
        <v>0</v>
      </c>
      <c r="O81" s="275"/>
      <c r="P81" s="79"/>
    </row>
    <row r="82" spans="1:16" ht="12.75" x14ac:dyDescent="0.2">
      <c r="A82" s="110" t="s">
        <v>88</v>
      </c>
      <c r="B82" s="139">
        <f>90*12</f>
        <v>1080</v>
      </c>
      <c r="C82" s="140"/>
      <c r="G82" s="81"/>
      <c r="H82" s="621"/>
      <c r="I82" s="622"/>
      <c r="J82" s="623"/>
      <c r="K82" s="90"/>
      <c r="L82" s="14"/>
      <c r="M82" s="14"/>
      <c r="N82" s="13">
        <v>0</v>
      </c>
      <c r="O82" s="275"/>
      <c r="P82" s="79"/>
    </row>
    <row r="83" spans="1:16" ht="22.5" x14ac:dyDescent="0.2">
      <c r="A83" s="110" t="s">
        <v>89</v>
      </c>
      <c r="B83" s="139">
        <v>4500</v>
      </c>
      <c r="C83" s="139"/>
      <c r="G83" s="81"/>
      <c r="H83" s="621"/>
      <c r="I83" s="622"/>
      <c r="J83" s="623"/>
      <c r="K83" s="90"/>
      <c r="L83" s="14"/>
      <c r="M83" s="14"/>
      <c r="N83" s="13">
        <v>0</v>
      </c>
      <c r="O83" s="275"/>
      <c r="P83" s="79"/>
    </row>
    <row r="84" spans="1:16" ht="12.75" x14ac:dyDescent="0.2">
      <c r="A84" s="109" t="s">
        <v>90</v>
      </c>
      <c r="B84" s="141">
        <f>SUM(B80:B83)</f>
        <v>6380</v>
      </c>
      <c r="C84" s="141">
        <v>0</v>
      </c>
      <c r="G84" s="81"/>
      <c r="H84" s="621"/>
      <c r="I84" s="622"/>
      <c r="J84" s="623"/>
      <c r="K84" s="90"/>
      <c r="L84" s="14"/>
      <c r="M84" s="14"/>
      <c r="N84" s="13">
        <v>0</v>
      </c>
      <c r="O84" s="275"/>
      <c r="P84" s="79"/>
    </row>
    <row r="85" spans="1:16" ht="12.75" x14ac:dyDescent="0.2">
      <c r="A85" s="111" t="s">
        <v>91</v>
      </c>
      <c r="B85" s="142"/>
      <c r="C85" s="142"/>
      <c r="G85" s="81"/>
      <c r="H85" s="621"/>
      <c r="I85" s="622"/>
      <c r="J85" s="623"/>
      <c r="K85" s="90"/>
      <c r="L85" s="14"/>
      <c r="M85" s="14"/>
      <c r="N85" s="13">
        <v>0</v>
      </c>
      <c r="O85" s="275"/>
      <c r="P85" s="79"/>
    </row>
    <row r="86" spans="1:16" ht="12.75" x14ac:dyDescent="0.2">
      <c r="A86" s="112" t="s">
        <v>92</v>
      </c>
      <c r="B86" s="143">
        <v>600</v>
      </c>
      <c r="C86" s="144"/>
      <c r="G86" s="81"/>
      <c r="H86" s="621"/>
      <c r="I86" s="622"/>
      <c r="J86" s="623"/>
      <c r="K86" s="90"/>
      <c r="L86" s="14"/>
      <c r="M86" s="14"/>
      <c r="N86" s="13">
        <v>0</v>
      </c>
      <c r="O86" s="275"/>
      <c r="P86" s="79"/>
    </row>
    <row r="87" spans="1:16" ht="12.75" x14ac:dyDescent="0.2">
      <c r="A87" s="112" t="s">
        <v>93</v>
      </c>
      <c r="B87" s="144">
        <v>150</v>
      </c>
      <c r="C87" s="144"/>
      <c r="G87" s="81"/>
      <c r="H87" s="621"/>
      <c r="I87" s="622"/>
      <c r="J87" s="623"/>
      <c r="K87" s="90"/>
      <c r="L87" s="14"/>
      <c r="M87" s="14"/>
      <c r="N87" s="13">
        <v>0</v>
      </c>
      <c r="O87" s="275"/>
      <c r="P87" s="79"/>
    </row>
    <row r="88" spans="1:16" ht="12.75" x14ac:dyDescent="0.2">
      <c r="A88" s="112" t="s">
        <v>94</v>
      </c>
      <c r="B88" s="144">
        <v>150</v>
      </c>
      <c r="C88" s="144"/>
      <c r="G88" s="81"/>
      <c r="H88" s="621"/>
      <c r="I88" s="622"/>
      <c r="J88" s="623"/>
      <c r="K88" s="273"/>
      <c r="L88" s="15"/>
      <c r="M88" s="15"/>
      <c r="N88" s="13">
        <v>0</v>
      </c>
      <c r="O88" s="275"/>
      <c r="P88" s="79"/>
    </row>
    <row r="89" spans="1:16" ht="22.5" x14ac:dyDescent="0.2">
      <c r="A89" s="112" t="s">
        <v>95</v>
      </c>
      <c r="B89" s="144">
        <v>500</v>
      </c>
      <c r="C89" s="144"/>
      <c r="G89" s="81"/>
      <c r="H89" s="621"/>
      <c r="I89" s="622"/>
      <c r="J89" s="623"/>
      <c r="K89" s="273"/>
      <c r="L89" s="15"/>
      <c r="M89" s="15"/>
      <c r="N89" s="13">
        <v>0</v>
      </c>
      <c r="O89" s="275"/>
      <c r="P89" s="79"/>
    </row>
    <row r="90" spans="1:16" ht="13.5" thickBot="1" x14ac:dyDescent="0.25">
      <c r="A90" s="111" t="s">
        <v>96</v>
      </c>
      <c r="B90" s="145">
        <f>SUM(B85:B89)</f>
        <v>1400</v>
      </c>
      <c r="C90" s="145">
        <v>0</v>
      </c>
      <c r="G90" s="81"/>
      <c r="H90" s="621"/>
      <c r="I90" s="622"/>
      <c r="J90" s="623"/>
      <c r="K90" s="273"/>
      <c r="L90" s="16"/>
      <c r="M90" s="15"/>
      <c r="N90" s="13">
        <v>0</v>
      </c>
      <c r="O90" s="275"/>
      <c r="P90" s="79"/>
    </row>
    <row r="91" spans="1:16" ht="23.25" thickTop="1" x14ac:dyDescent="0.2">
      <c r="A91" s="113" t="s">
        <v>97</v>
      </c>
      <c r="B91" s="146"/>
      <c r="C91" s="146"/>
      <c r="G91" s="81"/>
      <c r="H91" s="81"/>
      <c r="I91" s="81"/>
      <c r="J91" s="91" t="s">
        <v>428</v>
      </c>
      <c r="K91" s="91"/>
      <c r="L91" s="17">
        <v>0</v>
      </c>
      <c r="M91" s="17"/>
      <c r="N91" s="92">
        <v>0</v>
      </c>
      <c r="O91" s="278"/>
      <c r="P91" s="79"/>
    </row>
    <row r="92" spans="1:16" ht="12.75" x14ac:dyDescent="0.2">
      <c r="A92" s="114" t="s">
        <v>98</v>
      </c>
      <c r="B92" s="147">
        <v>1000</v>
      </c>
      <c r="C92" s="147">
        <v>12600</v>
      </c>
      <c r="G92" s="79"/>
      <c r="H92" s="79"/>
      <c r="I92" s="79"/>
      <c r="J92" s="79"/>
      <c r="K92" s="79"/>
      <c r="L92" s="79"/>
      <c r="M92" s="79"/>
      <c r="N92" s="93"/>
      <c r="O92" s="93"/>
      <c r="P92" s="79"/>
    </row>
    <row r="93" spans="1:16" ht="12.75" x14ac:dyDescent="0.2">
      <c r="A93" s="114" t="s">
        <v>99</v>
      </c>
      <c r="B93" s="147">
        <v>500</v>
      </c>
      <c r="C93" s="147"/>
      <c r="G93" s="79"/>
      <c r="H93" s="79"/>
      <c r="I93" s="79"/>
      <c r="J93" s="91" t="s">
        <v>337</v>
      </c>
      <c r="K93" s="91"/>
      <c r="L93" s="18">
        <v>494425.61250000005</v>
      </c>
      <c r="M93" s="18"/>
      <c r="N93" s="94">
        <v>0.6192303327490829</v>
      </c>
      <c r="O93" s="278"/>
      <c r="P93" s="79"/>
    </row>
    <row r="94" spans="1:16" ht="12.75" x14ac:dyDescent="0.2">
      <c r="A94" s="114" t="s">
        <v>100</v>
      </c>
      <c r="B94" s="148">
        <v>500</v>
      </c>
      <c r="C94" s="147"/>
      <c r="G94" s="79"/>
      <c r="H94" s="79"/>
      <c r="I94" s="79"/>
      <c r="J94" s="79"/>
      <c r="K94" s="79"/>
      <c r="L94" s="79"/>
      <c r="M94" s="79"/>
      <c r="N94" s="79"/>
      <c r="O94" s="79"/>
      <c r="P94" s="79"/>
    </row>
    <row r="95" spans="1:16" ht="12.75" x14ac:dyDescent="0.2">
      <c r="A95" s="114" t="s">
        <v>101</v>
      </c>
      <c r="B95" s="148">
        <v>2500</v>
      </c>
      <c r="C95" s="147"/>
      <c r="G95" s="79"/>
      <c r="H95" s="79"/>
      <c r="I95" s="79"/>
      <c r="J95" s="79"/>
      <c r="K95" s="79"/>
      <c r="L95" s="80" t="s">
        <v>335</v>
      </c>
      <c r="M95" s="80"/>
      <c r="N95" s="13">
        <v>0</v>
      </c>
      <c r="O95" s="275"/>
      <c r="P95" s="79"/>
    </row>
    <row r="96" spans="1:16" ht="22.5" x14ac:dyDescent="0.2">
      <c r="A96" s="113" t="s">
        <v>653</v>
      </c>
      <c r="B96" s="149">
        <f>SUM(B91:B95)</f>
        <v>4500</v>
      </c>
      <c r="C96" s="149">
        <v>12600</v>
      </c>
      <c r="G96" s="81"/>
      <c r="H96" s="82" t="s">
        <v>423</v>
      </c>
      <c r="I96" s="81"/>
      <c r="J96" s="81"/>
      <c r="K96" s="81"/>
      <c r="L96" s="81"/>
      <c r="M96" s="81"/>
      <c r="N96" s="83"/>
      <c r="O96" s="83"/>
      <c r="P96" s="79"/>
    </row>
    <row r="97" spans="1:16" ht="38.25" x14ac:dyDescent="0.2">
      <c r="A97" s="115" t="s">
        <v>103</v>
      </c>
      <c r="B97" s="150"/>
      <c r="C97" s="150"/>
      <c r="G97" s="81"/>
      <c r="H97" s="624" t="s">
        <v>429</v>
      </c>
      <c r="I97" s="625"/>
      <c r="J97" s="626"/>
      <c r="K97" s="84"/>
      <c r="L97" s="85" t="s">
        <v>425</v>
      </c>
      <c r="M97" s="85"/>
      <c r="N97" s="85" t="s">
        <v>426</v>
      </c>
      <c r="O97" s="276"/>
      <c r="P97" s="86"/>
    </row>
    <row r="98" spans="1:16" ht="12.75" x14ac:dyDescent="0.2">
      <c r="A98" s="116" t="s">
        <v>104</v>
      </c>
      <c r="B98" s="151">
        <v>1000</v>
      </c>
      <c r="C98" s="151"/>
      <c r="D98" s="29" t="s">
        <v>749</v>
      </c>
      <c r="G98" s="81"/>
      <c r="H98" s="627" t="s">
        <v>427</v>
      </c>
      <c r="I98" s="628"/>
      <c r="J98" s="629"/>
      <c r="K98" s="87"/>
      <c r="L98" s="88">
        <f>1000</f>
        <v>1000</v>
      </c>
      <c r="M98" s="88"/>
      <c r="N98" s="89">
        <v>0.16700000000000001</v>
      </c>
      <c r="O98" s="277"/>
      <c r="P98" s="79"/>
    </row>
    <row r="99" spans="1:16" ht="12.75" x14ac:dyDescent="0.2">
      <c r="A99" s="116" t="s">
        <v>105</v>
      </c>
      <c r="B99" s="152">
        <f>SUM(E99:E102)</f>
        <v>2990</v>
      </c>
      <c r="C99" s="152"/>
      <c r="D99" s="29" t="s">
        <v>746</v>
      </c>
      <c r="E99" s="29">
        <f>200*12</f>
        <v>2400</v>
      </c>
      <c r="G99" s="81"/>
      <c r="H99" s="621" t="s">
        <v>430</v>
      </c>
      <c r="I99" s="622"/>
      <c r="J99" s="623"/>
      <c r="K99" s="90"/>
      <c r="L99" s="14">
        <v>37500</v>
      </c>
      <c r="M99" s="14"/>
      <c r="N99" s="13">
        <f>IFERROR(L99/$H$9,0)</f>
        <v>0</v>
      </c>
      <c r="O99" s="275"/>
      <c r="P99" s="79"/>
    </row>
    <row r="100" spans="1:16" ht="12.75" x14ac:dyDescent="0.2">
      <c r="A100" s="116" t="s">
        <v>106</v>
      </c>
      <c r="B100" s="152">
        <v>330</v>
      </c>
      <c r="C100" s="152"/>
      <c r="D100" s="29" t="s">
        <v>747</v>
      </c>
      <c r="E100" s="29">
        <v>250</v>
      </c>
      <c r="G100" s="81"/>
      <c r="H100" s="621" t="s">
        <v>431</v>
      </c>
      <c r="I100" s="622"/>
      <c r="J100" s="623"/>
      <c r="K100" s="90"/>
      <c r="L100" s="14">
        <v>102500</v>
      </c>
      <c r="M100" s="14"/>
      <c r="N100" s="13">
        <f t="shared" ref="N100:N108" si="4">IFERROR(L100/$H$9,0)</f>
        <v>0</v>
      </c>
      <c r="O100" s="275"/>
      <c r="P100" s="79"/>
    </row>
    <row r="101" spans="1:16" ht="12.75" x14ac:dyDescent="0.2">
      <c r="A101" s="116" t="s">
        <v>107</v>
      </c>
      <c r="B101" s="152">
        <v>200</v>
      </c>
      <c r="C101" s="151"/>
      <c r="D101" s="29" t="s">
        <v>748</v>
      </c>
      <c r="E101" s="29">
        <v>90</v>
      </c>
      <c r="G101" s="81"/>
      <c r="H101" s="621" t="s">
        <v>432</v>
      </c>
      <c r="I101" s="622"/>
      <c r="J101" s="623"/>
      <c r="K101" s="90"/>
      <c r="L101" s="14">
        <v>33750</v>
      </c>
      <c r="M101" s="14"/>
      <c r="N101" s="13">
        <f t="shared" si="4"/>
        <v>0</v>
      </c>
      <c r="O101" s="275"/>
      <c r="P101" s="79"/>
    </row>
    <row r="102" spans="1:16" ht="12.75" x14ac:dyDescent="0.2">
      <c r="A102" s="116" t="s">
        <v>108</v>
      </c>
      <c r="B102" s="152">
        <v>1000</v>
      </c>
      <c r="C102" s="151"/>
      <c r="D102" s="29" t="s">
        <v>750</v>
      </c>
      <c r="E102" s="29">
        <v>250</v>
      </c>
      <c r="G102" s="81"/>
      <c r="H102" s="621" t="s">
        <v>433</v>
      </c>
      <c r="I102" s="622"/>
      <c r="J102" s="623"/>
      <c r="K102" s="90"/>
      <c r="L102" s="14">
        <v>12500</v>
      </c>
      <c r="M102" s="14"/>
      <c r="N102" s="13">
        <f t="shared" si="4"/>
        <v>0</v>
      </c>
      <c r="O102" s="275"/>
      <c r="P102" s="79"/>
    </row>
    <row r="103" spans="1:16" ht="12.75" x14ac:dyDescent="0.2">
      <c r="A103" s="115" t="s">
        <v>109</v>
      </c>
      <c r="B103" s="153">
        <f>SUM(B97:B102)</f>
        <v>5520</v>
      </c>
      <c r="C103" s="153">
        <v>0</v>
      </c>
      <c r="G103" s="81"/>
      <c r="H103" s="621" t="s">
        <v>434</v>
      </c>
      <c r="I103" s="622"/>
      <c r="J103" s="623"/>
      <c r="K103" s="90"/>
      <c r="L103" s="14">
        <v>22500</v>
      </c>
      <c r="M103" s="14"/>
      <c r="N103" s="13">
        <f t="shared" si="4"/>
        <v>0</v>
      </c>
      <c r="O103" s="275"/>
      <c r="P103" s="79"/>
    </row>
    <row r="104" spans="1:16" ht="12.75" x14ac:dyDescent="0.2">
      <c r="A104" s="103" t="s">
        <v>110</v>
      </c>
      <c r="B104" s="154"/>
      <c r="C104" s="155"/>
      <c r="G104" s="81"/>
      <c r="H104" s="630" t="s">
        <v>417</v>
      </c>
      <c r="I104" s="631"/>
      <c r="J104" s="632"/>
      <c r="K104" s="95"/>
      <c r="L104" s="14">
        <v>18750</v>
      </c>
      <c r="M104" s="14"/>
      <c r="N104" s="13">
        <f t="shared" si="4"/>
        <v>0</v>
      </c>
      <c r="O104" s="275"/>
      <c r="P104" s="79"/>
    </row>
    <row r="105" spans="1:16" ht="22.5" x14ac:dyDescent="0.2">
      <c r="A105" s="103" t="s">
        <v>111</v>
      </c>
      <c r="B105" s="155"/>
      <c r="C105" s="154"/>
      <c r="G105" s="81"/>
      <c r="H105" s="630" t="s">
        <v>419</v>
      </c>
      <c r="I105" s="631"/>
      <c r="J105" s="632"/>
      <c r="K105" s="95"/>
      <c r="L105" s="14">
        <v>27776.25</v>
      </c>
      <c r="M105" s="14"/>
      <c r="N105" s="13">
        <f t="shared" si="4"/>
        <v>0</v>
      </c>
      <c r="O105" s="275"/>
      <c r="P105" s="79"/>
    </row>
    <row r="106" spans="1:16" ht="12.75" x14ac:dyDescent="0.2">
      <c r="A106" s="111" t="s">
        <v>112</v>
      </c>
      <c r="B106" s="142">
        <f>12*2000</f>
        <v>24000</v>
      </c>
      <c r="C106" s="142"/>
      <c r="G106" s="81"/>
      <c r="H106" s="630" t="s">
        <v>421</v>
      </c>
      <c r="I106" s="631"/>
      <c r="J106" s="632"/>
      <c r="K106" s="274"/>
      <c r="L106" s="15">
        <v>48750</v>
      </c>
      <c r="M106" s="15"/>
      <c r="N106" s="13">
        <f t="shared" si="4"/>
        <v>0</v>
      </c>
      <c r="O106" s="275"/>
      <c r="P106" s="79"/>
    </row>
    <row r="107" spans="1:16" ht="12.75" x14ac:dyDescent="0.2">
      <c r="A107" s="112" t="s">
        <v>113</v>
      </c>
      <c r="B107" s="143">
        <f>150*12</f>
        <v>1800</v>
      </c>
      <c r="C107" s="143">
        <f>I58</f>
        <v>600</v>
      </c>
      <c r="G107" s="81"/>
      <c r="H107" s="621"/>
      <c r="I107" s="622"/>
      <c r="J107" s="623"/>
      <c r="K107" s="273"/>
      <c r="L107" s="15"/>
      <c r="M107" s="15"/>
      <c r="N107" s="13">
        <f t="shared" si="4"/>
        <v>0</v>
      </c>
      <c r="O107" s="275"/>
      <c r="P107" s="79"/>
    </row>
    <row r="108" spans="1:16" ht="14.25" customHeight="1" thickBot="1" x14ac:dyDescent="0.25">
      <c r="A108" s="112" t="s">
        <v>114</v>
      </c>
      <c r="B108" s="143">
        <f>150*12</f>
        <v>1800</v>
      </c>
      <c r="C108" s="143">
        <f>I59</f>
        <v>600</v>
      </c>
      <c r="G108" s="81"/>
      <c r="H108" s="621"/>
      <c r="I108" s="622"/>
      <c r="J108" s="623"/>
      <c r="K108" s="273"/>
      <c r="L108" s="16"/>
      <c r="M108" s="15"/>
      <c r="N108" s="13">
        <f t="shared" si="4"/>
        <v>0</v>
      </c>
      <c r="O108" s="275"/>
      <c r="P108" s="79"/>
    </row>
    <row r="109" spans="1:16" ht="13.5" thickTop="1" x14ac:dyDescent="0.2">
      <c r="A109" s="111" t="s">
        <v>115</v>
      </c>
      <c r="B109" s="145">
        <f>SUM(B106:B108)</f>
        <v>27600</v>
      </c>
      <c r="C109" s="145">
        <v>1200</v>
      </c>
      <c r="G109" s="81"/>
      <c r="H109" s="81"/>
      <c r="I109" s="81"/>
      <c r="J109" s="91" t="s">
        <v>435</v>
      </c>
      <c r="K109" s="91"/>
      <c r="L109" s="17">
        <f>SUM(L99:L108)</f>
        <v>304026.25</v>
      </c>
      <c r="M109" s="17"/>
      <c r="N109" s="92">
        <f>IFERROR(L109/$H$9,0)</f>
        <v>0</v>
      </c>
      <c r="O109" s="278"/>
      <c r="P109" s="79"/>
    </row>
    <row r="110" spans="1:16" x14ac:dyDescent="0.25">
      <c r="A110" s="103" t="s">
        <v>116</v>
      </c>
      <c r="B110" s="156">
        <f>SUM(B109+B103+B96+B90+B84+B78+B77+B76+B71+B55+B79+B34)</f>
        <v>48800</v>
      </c>
      <c r="C110" s="156">
        <f>SUM(C109+C103+C96+C90+C84+C78+C77+C76+C71+C55+C79+C34)</f>
        <v>178800</v>
      </c>
      <c r="G110" s="79"/>
      <c r="H110" s="79"/>
      <c r="I110" s="79"/>
      <c r="J110" s="79"/>
      <c r="K110" s="79"/>
      <c r="L110" s="79"/>
      <c r="M110" s="79"/>
      <c r="N110" s="93"/>
      <c r="O110" s="93"/>
      <c r="P110" s="79"/>
    </row>
    <row r="111" spans="1:16" ht="12.75" x14ac:dyDescent="0.2">
      <c r="A111" s="103" t="s">
        <v>117</v>
      </c>
      <c r="B111" s="122"/>
      <c r="C111" s="122"/>
      <c r="G111" s="79"/>
      <c r="H111" s="79"/>
      <c r="I111" s="79"/>
      <c r="J111" s="91" t="s">
        <v>337</v>
      </c>
      <c r="K111" s="91"/>
      <c r="L111" s="18">
        <f>L93</f>
        <v>494425.61250000005</v>
      </c>
      <c r="M111" s="18"/>
      <c r="N111" s="94">
        <f>IFERROR(L111/$H$9,0)</f>
        <v>0</v>
      </c>
      <c r="O111" s="278"/>
      <c r="P111" s="79"/>
    </row>
    <row r="112" spans="1:16" ht="12.75" x14ac:dyDescent="0.2">
      <c r="A112" s="103" t="s">
        <v>118</v>
      </c>
      <c r="B112" s="122">
        <f t="shared" ref="B112" si="5">B27-B110</f>
        <v>-1300</v>
      </c>
      <c r="C112" s="122">
        <v>0</v>
      </c>
    </row>
    <row r="113" spans="1:3" ht="12.75" x14ac:dyDescent="0.2">
      <c r="A113" s="2"/>
      <c r="B113" s="3"/>
      <c r="C113" s="3"/>
    </row>
    <row r="116" spans="1:3" ht="33.75" x14ac:dyDescent="0.2">
      <c r="A116" s="345"/>
      <c r="B116" s="345" t="s">
        <v>687</v>
      </c>
      <c r="C116" s="29"/>
    </row>
  </sheetData>
  <mergeCells count="25">
    <mergeCell ref="H108:J108"/>
    <mergeCell ref="H97:J97"/>
    <mergeCell ref="H98:J98"/>
    <mergeCell ref="H99:J99"/>
    <mergeCell ref="H100:J100"/>
    <mergeCell ref="H101:J101"/>
    <mergeCell ref="H102:J102"/>
    <mergeCell ref="H103:J103"/>
    <mergeCell ref="H104:J104"/>
    <mergeCell ref="H105:J105"/>
    <mergeCell ref="H106:J106"/>
    <mergeCell ref="H107:J107"/>
    <mergeCell ref="G32:H32"/>
    <mergeCell ref="H90:J90"/>
    <mergeCell ref="H79:J79"/>
    <mergeCell ref="H80:J80"/>
    <mergeCell ref="H81:J81"/>
    <mergeCell ref="H82:J82"/>
    <mergeCell ref="H83:J83"/>
    <mergeCell ref="H84:J84"/>
    <mergeCell ref="H85:J85"/>
    <mergeCell ref="H86:J86"/>
    <mergeCell ref="H87:J87"/>
    <mergeCell ref="H88:J88"/>
    <mergeCell ref="H89:J89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999B-629E-4538-B0A9-197AF526C71E}">
  <sheetPr>
    <tabColor rgb="FF19BFAF"/>
  </sheetPr>
  <dimension ref="A5:Q119"/>
  <sheetViews>
    <sheetView topLeftCell="D1" workbookViewId="0">
      <selection activeCell="D1" sqref="D1"/>
    </sheetView>
  </sheetViews>
  <sheetFormatPr defaultColWidth="9.140625" defaultRowHeight="15" x14ac:dyDescent="0.25"/>
  <cols>
    <col min="1" max="1" width="44.7109375" style="23" hidden="1" customWidth="1"/>
    <col min="2" max="3" width="0" style="23" hidden="1" customWidth="1"/>
    <col min="4" max="6" width="9.140625" style="23"/>
    <col min="7" max="7" width="37.42578125" style="23" bestFit="1" customWidth="1"/>
    <col min="8" max="8" width="8.42578125" style="23" bestFit="1" customWidth="1"/>
    <col min="9" max="10" width="12.5703125" style="23" bestFit="1" customWidth="1"/>
    <col min="11" max="11" width="12.140625" style="23" bestFit="1" customWidth="1"/>
    <col min="12" max="12" width="13.5703125" style="23" bestFit="1" customWidth="1"/>
    <col min="13" max="13" width="18.28515625" style="23" bestFit="1" customWidth="1"/>
    <col min="14" max="14" width="12.28515625" style="23" bestFit="1" customWidth="1"/>
    <col min="15" max="15" width="12.5703125" style="23" bestFit="1" customWidth="1"/>
    <col min="16" max="16" width="9.140625" style="23"/>
    <col min="17" max="17" width="11.5703125" style="23" bestFit="1" customWidth="1"/>
    <col min="18" max="16384" width="9.140625" style="23"/>
  </cols>
  <sheetData>
    <row r="5" spans="1:15" x14ac:dyDescent="0.25">
      <c r="A5" s="24"/>
    </row>
    <row r="6" spans="1:15" x14ac:dyDescent="0.25">
      <c r="A6" s="24"/>
    </row>
    <row r="7" spans="1:15" x14ac:dyDescent="0.25">
      <c r="A7" s="25" t="s">
        <v>18</v>
      </c>
      <c r="G7" s="271" t="s">
        <v>155</v>
      </c>
      <c r="H7" s="271" t="s">
        <v>436</v>
      </c>
      <c r="I7" s="271" t="s">
        <v>437</v>
      </c>
      <c r="J7" s="271" t="s">
        <v>438</v>
      </c>
      <c r="K7" s="271" t="s">
        <v>439</v>
      </c>
      <c r="L7" s="271" t="s">
        <v>440</v>
      </c>
      <c r="M7" s="271" t="s">
        <v>441</v>
      </c>
      <c r="N7" s="271" t="s">
        <v>442</v>
      </c>
      <c r="O7" s="271" t="s">
        <v>257</v>
      </c>
    </row>
    <row r="8" spans="1:15" x14ac:dyDescent="0.25">
      <c r="A8" s="25" t="s">
        <v>19</v>
      </c>
      <c r="G8" s="271" t="s">
        <v>145</v>
      </c>
      <c r="H8" s="271"/>
      <c r="I8" s="271"/>
      <c r="J8" s="271"/>
      <c r="K8" s="271"/>
      <c r="L8" s="271"/>
      <c r="M8" s="271"/>
      <c r="N8" s="271"/>
      <c r="O8" s="271"/>
    </row>
    <row r="9" spans="1:15" x14ac:dyDescent="0.25">
      <c r="A9" s="25" t="s">
        <v>120</v>
      </c>
      <c r="G9" s="271" t="s">
        <v>443</v>
      </c>
      <c r="H9" s="271"/>
      <c r="I9" s="271">
        <v>13800</v>
      </c>
      <c r="J9" s="271">
        <v>2760</v>
      </c>
      <c r="K9" s="271">
        <v>0</v>
      </c>
      <c r="L9" s="271">
        <v>0</v>
      </c>
      <c r="M9" s="271">
        <v>2760</v>
      </c>
      <c r="N9" s="271">
        <v>11040</v>
      </c>
      <c r="O9" s="271">
        <v>30360</v>
      </c>
    </row>
    <row r="10" spans="1:15" x14ac:dyDescent="0.25">
      <c r="A10" s="25" t="s">
        <v>121</v>
      </c>
      <c r="G10" s="271" t="s">
        <v>444</v>
      </c>
      <c r="H10" s="271"/>
      <c r="I10" s="271">
        <v>3000</v>
      </c>
      <c r="J10" s="271">
        <v>2000</v>
      </c>
      <c r="K10" s="271">
        <v>0</v>
      </c>
      <c r="L10" s="271">
        <v>0</v>
      </c>
      <c r="M10" s="271">
        <v>4000</v>
      </c>
      <c r="N10" s="271">
        <v>8000</v>
      </c>
      <c r="O10" s="271">
        <v>17000</v>
      </c>
    </row>
    <row r="11" spans="1:15" x14ac:dyDescent="0.25">
      <c r="A11" s="25" t="s">
        <v>20</v>
      </c>
      <c r="G11" s="271" t="s">
        <v>445</v>
      </c>
      <c r="H11" s="271"/>
      <c r="I11" s="271">
        <v>1854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1854</v>
      </c>
    </row>
    <row r="12" spans="1:15" x14ac:dyDescent="0.25">
      <c r="A12" s="25" t="s">
        <v>21</v>
      </c>
      <c r="G12" s="271" t="s">
        <v>446</v>
      </c>
      <c r="H12" s="271"/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</row>
    <row r="13" spans="1:15" x14ac:dyDescent="0.25">
      <c r="A13" s="25" t="s">
        <v>22</v>
      </c>
      <c r="G13" s="271" t="s">
        <v>447</v>
      </c>
      <c r="H13" s="271"/>
      <c r="I13" s="271">
        <v>12500</v>
      </c>
      <c r="J13" s="271">
        <v>7500</v>
      </c>
      <c r="K13" s="271">
        <v>0</v>
      </c>
      <c r="L13" s="271">
        <v>0</v>
      </c>
      <c r="M13" s="271">
        <v>3000</v>
      </c>
      <c r="N13" s="271">
        <v>10000</v>
      </c>
      <c r="O13" s="271">
        <v>33000</v>
      </c>
    </row>
    <row r="14" spans="1:15" x14ac:dyDescent="0.25">
      <c r="A14" s="25" t="s">
        <v>23</v>
      </c>
      <c r="G14" s="271" t="s">
        <v>448</v>
      </c>
      <c r="H14" s="271"/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</row>
    <row r="15" spans="1:15" x14ac:dyDescent="0.25">
      <c r="A15" s="25" t="s">
        <v>24</v>
      </c>
      <c r="G15" s="271" t="s">
        <v>449</v>
      </c>
      <c r="H15" s="271"/>
      <c r="I15" s="271">
        <v>11648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11648</v>
      </c>
    </row>
    <row r="16" spans="1:15" x14ac:dyDescent="0.25">
      <c r="A16" s="25" t="s">
        <v>25</v>
      </c>
      <c r="G16" s="271" t="s">
        <v>450</v>
      </c>
      <c r="H16" s="271"/>
      <c r="I16" s="271">
        <v>4500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4500</v>
      </c>
    </row>
    <row r="17" spans="1:17" x14ac:dyDescent="0.25">
      <c r="A17" s="25" t="s">
        <v>26</v>
      </c>
      <c r="G17" s="271" t="s">
        <v>451</v>
      </c>
      <c r="H17" s="271"/>
      <c r="I17" s="271">
        <v>0</v>
      </c>
      <c r="J17" s="271">
        <v>0</v>
      </c>
      <c r="K17" s="271">
        <v>0</v>
      </c>
      <c r="L17" s="271">
        <v>0</v>
      </c>
      <c r="M17" s="271">
        <v>0</v>
      </c>
      <c r="N17" s="271">
        <v>0</v>
      </c>
      <c r="O17" s="271">
        <v>0</v>
      </c>
      <c r="Q17" s="23">
        <f>SUM(O9:O17)</f>
        <v>98362</v>
      </c>
    </row>
    <row r="18" spans="1:17" x14ac:dyDescent="0.25">
      <c r="A18" s="25" t="s">
        <v>27</v>
      </c>
      <c r="G18" s="271" t="s">
        <v>452</v>
      </c>
      <c r="H18" s="271"/>
      <c r="I18" s="271"/>
      <c r="J18" s="271"/>
      <c r="K18" s="271"/>
      <c r="L18" s="271"/>
      <c r="M18" s="271"/>
      <c r="N18" s="271"/>
      <c r="O18" s="271"/>
    </row>
    <row r="19" spans="1:17" x14ac:dyDescent="0.25">
      <c r="A19" s="25" t="s">
        <v>28</v>
      </c>
      <c r="G19" s="271" t="s">
        <v>443</v>
      </c>
      <c r="H19" s="271"/>
      <c r="I19" s="271">
        <v>2670.3</v>
      </c>
      <c r="J19" s="271">
        <v>534.06000000000006</v>
      </c>
      <c r="K19" s="271">
        <v>0</v>
      </c>
      <c r="L19" s="271">
        <v>0</v>
      </c>
      <c r="M19" s="271">
        <v>534.06000000000006</v>
      </c>
      <c r="N19" s="271">
        <v>2136.2400000000002</v>
      </c>
      <c r="O19" s="271">
        <v>5874.66</v>
      </c>
    </row>
    <row r="20" spans="1:17" x14ac:dyDescent="0.25">
      <c r="A20" s="25" t="s">
        <v>122</v>
      </c>
      <c r="G20" s="271" t="s">
        <v>444</v>
      </c>
      <c r="H20" s="271"/>
      <c r="I20" s="271">
        <v>580.5</v>
      </c>
      <c r="J20" s="271">
        <v>387</v>
      </c>
      <c r="K20" s="271">
        <v>0</v>
      </c>
      <c r="L20" s="271">
        <v>0</v>
      </c>
      <c r="M20" s="271">
        <v>774</v>
      </c>
      <c r="N20" s="271">
        <v>1548</v>
      </c>
      <c r="O20" s="271">
        <v>3289.5</v>
      </c>
    </row>
    <row r="21" spans="1:17" x14ac:dyDescent="0.25">
      <c r="A21" s="25" t="s">
        <v>29</v>
      </c>
      <c r="G21" s="271" t="s">
        <v>445</v>
      </c>
      <c r="H21" s="271"/>
      <c r="I21" s="271">
        <v>358.74900000000002</v>
      </c>
      <c r="J21" s="271">
        <v>0</v>
      </c>
      <c r="K21" s="271">
        <v>0</v>
      </c>
      <c r="L21" s="271">
        <v>0</v>
      </c>
      <c r="M21" s="271">
        <v>0</v>
      </c>
      <c r="N21" s="271">
        <v>0</v>
      </c>
      <c r="O21" s="271">
        <v>358.74900000000002</v>
      </c>
    </row>
    <row r="22" spans="1:17" x14ac:dyDescent="0.25">
      <c r="A22" s="25" t="s">
        <v>30</v>
      </c>
      <c r="G22" s="271" t="s">
        <v>446</v>
      </c>
      <c r="H22" s="271"/>
      <c r="I22" s="271">
        <v>0</v>
      </c>
      <c r="J22" s="271">
        <v>0</v>
      </c>
      <c r="K22" s="271">
        <v>0</v>
      </c>
      <c r="L22" s="271">
        <v>0</v>
      </c>
      <c r="M22" s="271">
        <v>0</v>
      </c>
      <c r="N22" s="271">
        <v>0</v>
      </c>
      <c r="O22" s="271">
        <v>0</v>
      </c>
    </row>
    <row r="23" spans="1:17" x14ac:dyDescent="0.25">
      <c r="A23" s="25" t="s">
        <v>31</v>
      </c>
      <c r="G23" s="271" t="s">
        <v>447</v>
      </c>
      <c r="H23" s="271"/>
      <c r="I23" s="271">
        <v>2418.75</v>
      </c>
      <c r="J23" s="271">
        <v>1451.25</v>
      </c>
      <c r="K23" s="271">
        <v>0</v>
      </c>
      <c r="L23" s="271">
        <v>0</v>
      </c>
      <c r="M23" s="271">
        <v>580.5</v>
      </c>
      <c r="N23" s="271">
        <v>1935</v>
      </c>
      <c r="O23" s="271">
        <v>6385.5</v>
      </c>
    </row>
    <row r="24" spans="1:17" x14ac:dyDescent="0.25">
      <c r="A24" s="25" t="s">
        <v>32</v>
      </c>
      <c r="G24" s="271" t="s">
        <v>448</v>
      </c>
      <c r="H24" s="271"/>
      <c r="I24" s="271">
        <v>0</v>
      </c>
      <c r="J24" s="271">
        <v>0</v>
      </c>
      <c r="K24" s="271">
        <v>0</v>
      </c>
      <c r="L24" s="271">
        <v>0</v>
      </c>
      <c r="M24" s="271">
        <v>0</v>
      </c>
      <c r="N24" s="271">
        <v>0</v>
      </c>
      <c r="O24" s="271">
        <v>0</v>
      </c>
    </row>
    <row r="25" spans="1:17" x14ac:dyDescent="0.25">
      <c r="A25" s="25" t="s">
        <v>33</v>
      </c>
      <c r="G25" s="271" t="s">
        <v>449</v>
      </c>
      <c r="H25" s="271"/>
      <c r="I25" s="271">
        <v>2253.8879999999999</v>
      </c>
      <c r="J25" s="271">
        <v>0</v>
      </c>
      <c r="K25" s="271">
        <v>0</v>
      </c>
      <c r="L25" s="271">
        <v>0</v>
      </c>
      <c r="M25" s="271">
        <v>0</v>
      </c>
      <c r="N25" s="271">
        <v>0</v>
      </c>
      <c r="O25" s="271">
        <v>2253.8879999999999</v>
      </c>
    </row>
    <row r="26" spans="1:17" x14ac:dyDescent="0.25">
      <c r="A26" s="25" t="s">
        <v>34</v>
      </c>
      <c r="G26" s="271" t="s">
        <v>450</v>
      </c>
      <c r="H26" s="271"/>
      <c r="I26" s="271">
        <v>870.75</v>
      </c>
      <c r="J26" s="271">
        <v>0</v>
      </c>
      <c r="K26" s="271">
        <v>0</v>
      </c>
      <c r="L26" s="271">
        <v>0</v>
      </c>
      <c r="M26" s="271">
        <v>0</v>
      </c>
      <c r="N26" s="271">
        <v>0</v>
      </c>
      <c r="O26" s="271">
        <v>870.75</v>
      </c>
    </row>
    <row r="27" spans="1:17" x14ac:dyDescent="0.25">
      <c r="A27" s="25" t="s">
        <v>35</v>
      </c>
      <c r="G27" s="271" t="s">
        <v>451</v>
      </c>
      <c r="H27" s="271"/>
      <c r="I27" s="271">
        <v>0</v>
      </c>
      <c r="J27" s="271">
        <v>0</v>
      </c>
      <c r="K27" s="271">
        <v>0</v>
      </c>
      <c r="L27" s="271">
        <v>0</v>
      </c>
      <c r="M27" s="271">
        <v>0</v>
      </c>
      <c r="N27" s="271">
        <v>0</v>
      </c>
      <c r="O27" s="271">
        <v>0</v>
      </c>
      <c r="Q27" s="23">
        <f>SUM(O19:O27)</f>
        <v>19033.046999999999</v>
      </c>
    </row>
    <row r="28" spans="1:17" x14ac:dyDescent="0.25">
      <c r="A28" s="25" t="s">
        <v>36</v>
      </c>
      <c r="G28" s="271" t="s">
        <v>453</v>
      </c>
      <c r="H28" s="271"/>
      <c r="I28" s="272">
        <v>0.38</v>
      </c>
      <c r="J28" s="272">
        <v>0.14000000000000001</v>
      </c>
      <c r="K28" s="272">
        <v>0.03</v>
      </c>
      <c r="L28" s="272">
        <v>0.03</v>
      </c>
      <c r="M28" s="272">
        <v>0.19</v>
      </c>
      <c r="N28" s="272">
        <v>0.23</v>
      </c>
      <c r="O28" s="272">
        <v>1</v>
      </c>
    </row>
    <row r="29" spans="1:17" x14ac:dyDescent="0.25">
      <c r="A29" s="25" t="s">
        <v>37</v>
      </c>
      <c r="G29" s="271" t="s">
        <v>454</v>
      </c>
      <c r="H29" s="271"/>
      <c r="I29" s="271"/>
      <c r="J29" s="271"/>
      <c r="K29" s="271"/>
      <c r="L29" s="271"/>
      <c r="M29" s="271"/>
      <c r="N29" s="271"/>
      <c r="O29" s="271"/>
    </row>
    <row r="30" spans="1:17" x14ac:dyDescent="0.25">
      <c r="A30" s="25" t="s">
        <v>38</v>
      </c>
      <c r="G30" s="271" t="s">
        <v>201</v>
      </c>
      <c r="H30" s="271"/>
      <c r="I30" s="271">
        <v>484.82300000000004</v>
      </c>
      <c r="J30" s="271">
        <v>178.61900000000003</v>
      </c>
      <c r="K30" s="271">
        <v>38.275500000000001</v>
      </c>
      <c r="L30" s="271">
        <v>38.275500000000001</v>
      </c>
      <c r="M30" s="271">
        <v>242.41150000000002</v>
      </c>
      <c r="N30" s="271">
        <v>293.44550000000004</v>
      </c>
      <c r="O30" s="271">
        <v>1275.8500000000001</v>
      </c>
    </row>
    <row r="31" spans="1:17" x14ac:dyDescent="0.25">
      <c r="A31" s="25" t="s">
        <v>39</v>
      </c>
      <c r="G31" s="271" t="s">
        <v>455</v>
      </c>
      <c r="H31" s="271"/>
      <c r="I31" s="271">
        <v>549.1</v>
      </c>
      <c r="J31" s="271">
        <v>202.3</v>
      </c>
      <c r="K31" s="271">
        <v>43.35</v>
      </c>
      <c r="L31" s="271">
        <v>43.35</v>
      </c>
      <c r="M31" s="271">
        <v>274.55</v>
      </c>
      <c r="N31" s="271">
        <v>332.35</v>
      </c>
      <c r="O31" s="271">
        <v>1445</v>
      </c>
    </row>
    <row r="32" spans="1:17" x14ac:dyDescent="0.25">
      <c r="A32" s="25" t="s">
        <v>40</v>
      </c>
      <c r="G32" s="271" t="s">
        <v>456</v>
      </c>
      <c r="H32" s="271"/>
      <c r="I32" s="271">
        <v>0</v>
      </c>
      <c r="J32" s="271">
        <v>0</v>
      </c>
      <c r="K32" s="271">
        <v>0</v>
      </c>
      <c r="L32" s="271">
        <v>0</v>
      </c>
      <c r="M32" s="271">
        <v>0</v>
      </c>
      <c r="N32" s="271">
        <v>0</v>
      </c>
      <c r="O32" s="271">
        <v>0</v>
      </c>
    </row>
    <row r="33" spans="1:15" x14ac:dyDescent="0.25">
      <c r="A33" s="25" t="s">
        <v>41</v>
      </c>
      <c r="G33" s="271" t="s">
        <v>457</v>
      </c>
      <c r="H33" s="271"/>
      <c r="I33" s="271">
        <v>813.76620000000014</v>
      </c>
      <c r="J33" s="271">
        <v>299.80860000000007</v>
      </c>
      <c r="K33" s="271">
        <v>64.244700000000009</v>
      </c>
      <c r="L33" s="271">
        <v>64.244700000000009</v>
      </c>
      <c r="M33" s="271">
        <v>406.88310000000007</v>
      </c>
      <c r="N33" s="271">
        <v>492.54270000000008</v>
      </c>
      <c r="O33" s="271">
        <v>2141.4900000000002</v>
      </c>
    </row>
    <row r="34" spans="1:15" x14ac:dyDescent="0.25">
      <c r="A34" s="25" t="s">
        <v>42</v>
      </c>
      <c r="G34" s="271" t="s">
        <v>223</v>
      </c>
      <c r="H34" s="271"/>
      <c r="I34" s="271">
        <v>1214.1400000000001</v>
      </c>
      <c r="J34" s="271"/>
      <c r="K34" s="271"/>
      <c r="L34" s="271"/>
      <c r="M34" s="271"/>
      <c r="N34" s="271"/>
      <c r="O34" s="271">
        <v>1214.1400000000001</v>
      </c>
    </row>
    <row r="35" spans="1:15" x14ac:dyDescent="0.25">
      <c r="A35" s="25" t="s">
        <v>43</v>
      </c>
      <c r="G35" s="271" t="s">
        <v>458</v>
      </c>
      <c r="H35" s="271"/>
      <c r="I35" s="271"/>
      <c r="J35" s="271"/>
      <c r="K35" s="271"/>
      <c r="L35" s="271"/>
      <c r="M35" s="271"/>
      <c r="N35" s="271"/>
      <c r="O35" s="271"/>
    </row>
    <row r="36" spans="1:15" x14ac:dyDescent="0.25">
      <c r="A36" s="25" t="s">
        <v>44</v>
      </c>
      <c r="G36" s="271" t="s">
        <v>231</v>
      </c>
      <c r="H36" s="271"/>
      <c r="I36" s="271">
        <v>500</v>
      </c>
      <c r="J36" s="271">
        <v>4400</v>
      </c>
      <c r="K36" s="271">
        <v>0</v>
      </c>
      <c r="L36" s="271">
        <v>0</v>
      </c>
      <c r="M36" s="271">
        <v>0</v>
      </c>
      <c r="N36" s="271">
        <v>17237.7</v>
      </c>
      <c r="O36" s="271">
        <v>22137.7</v>
      </c>
    </row>
    <row r="37" spans="1:15" x14ac:dyDescent="0.25">
      <c r="A37" s="25" t="s">
        <v>45</v>
      </c>
      <c r="G37" s="271" t="s">
        <v>459</v>
      </c>
      <c r="H37" s="271"/>
      <c r="I37" s="271" t="s">
        <v>460</v>
      </c>
      <c r="J37" s="271">
        <v>15000</v>
      </c>
      <c r="K37" s="271">
        <v>1500</v>
      </c>
      <c r="L37" s="271">
        <v>1500</v>
      </c>
      <c r="M37" s="271">
        <v>6000</v>
      </c>
      <c r="N37" s="271">
        <v>16000</v>
      </c>
      <c r="O37" s="271">
        <v>40000</v>
      </c>
    </row>
    <row r="38" spans="1:15" x14ac:dyDescent="0.25">
      <c r="A38" s="25" t="s">
        <v>46</v>
      </c>
      <c r="G38" s="271" t="s">
        <v>461</v>
      </c>
      <c r="H38" s="271"/>
      <c r="I38" s="271"/>
      <c r="J38" s="271"/>
      <c r="K38" s="271"/>
      <c r="L38" s="271"/>
      <c r="M38" s="271"/>
      <c r="N38" s="271"/>
      <c r="O38" s="271">
        <v>0</v>
      </c>
    </row>
    <row r="39" spans="1:15" x14ac:dyDescent="0.25">
      <c r="A39" s="25" t="s">
        <v>47</v>
      </c>
      <c r="G39" s="271" t="s">
        <v>462</v>
      </c>
      <c r="H39" s="271"/>
      <c r="I39" s="271"/>
      <c r="J39" s="271"/>
      <c r="K39" s="271"/>
      <c r="L39" s="271"/>
      <c r="M39" s="271"/>
      <c r="N39" s="271"/>
      <c r="O39" s="271">
        <v>0</v>
      </c>
    </row>
    <row r="40" spans="1:15" x14ac:dyDescent="0.25">
      <c r="A40" s="25" t="s">
        <v>48</v>
      </c>
      <c r="G40" s="271" t="s">
        <v>463</v>
      </c>
      <c r="H40" s="271"/>
      <c r="I40" s="271"/>
      <c r="J40" s="271"/>
      <c r="K40" s="271"/>
      <c r="L40" s="271"/>
      <c r="M40" s="271"/>
      <c r="N40" s="271"/>
      <c r="O40" s="271">
        <v>0</v>
      </c>
    </row>
    <row r="41" spans="1:15" x14ac:dyDescent="0.25">
      <c r="A41" s="25" t="s">
        <v>49</v>
      </c>
      <c r="G41" s="271" t="s">
        <v>464</v>
      </c>
      <c r="H41" s="271"/>
      <c r="I41" s="271"/>
      <c r="J41" s="271"/>
      <c r="K41" s="271"/>
      <c r="L41" s="271"/>
      <c r="M41" s="271"/>
      <c r="N41" s="271"/>
      <c r="O41" s="271"/>
    </row>
    <row r="42" spans="1:15" x14ac:dyDescent="0.25">
      <c r="A42" s="25" t="s">
        <v>50</v>
      </c>
      <c r="G42" s="271" t="s">
        <v>465</v>
      </c>
      <c r="H42" s="271"/>
      <c r="I42" s="271">
        <v>768.61080000000004</v>
      </c>
      <c r="J42" s="271">
        <v>283.17240000000004</v>
      </c>
      <c r="K42" s="271">
        <v>60.6798</v>
      </c>
      <c r="L42" s="271">
        <v>60.6798</v>
      </c>
      <c r="M42" s="271">
        <v>384.30540000000002</v>
      </c>
      <c r="N42" s="271">
        <v>465.21180000000004</v>
      </c>
      <c r="O42" s="271">
        <v>2022.66</v>
      </c>
    </row>
    <row r="43" spans="1:15" x14ac:dyDescent="0.25">
      <c r="A43" s="25" t="s">
        <v>51</v>
      </c>
      <c r="G43" s="271" t="s">
        <v>466</v>
      </c>
      <c r="H43" s="271"/>
      <c r="I43" s="271">
        <v>62.274400000000007</v>
      </c>
      <c r="J43" s="271">
        <v>22.943200000000004</v>
      </c>
      <c r="K43" s="271">
        <v>4.9164000000000003</v>
      </c>
      <c r="L43" s="271">
        <v>4.9164000000000003</v>
      </c>
      <c r="M43" s="271">
        <v>31.137200000000004</v>
      </c>
      <c r="N43" s="271">
        <v>37.692400000000006</v>
      </c>
      <c r="O43" s="271">
        <v>163.88000000000002</v>
      </c>
    </row>
    <row r="44" spans="1:15" x14ac:dyDescent="0.25">
      <c r="A44" s="25" t="s">
        <v>52</v>
      </c>
      <c r="G44" s="271" t="s">
        <v>467</v>
      </c>
      <c r="H44" s="271"/>
      <c r="I44" s="271">
        <v>43.475800000000007</v>
      </c>
      <c r="J44" s="271">
        <v>16.017400000000002</v>
      </c>
      <c r="K44" s="271">
        <v>3.4323000000000001</v>
      </c>
      <c r="L44" s="271">
        <v>3.4323000000000001</v>
      </c>
      <c r="M44" s="271">
        <v>21.737900000000003</v>
      </c>
      <c r="N44" s="271">
        <v>26.314300000000003</v>
      </c>
      <c r="O44" s="271">
        <v>114.41000000000001</v>
      </c>
    </row>
    <row r="45" spans="1:15" x14ac:dyDescent="0.25">
      <c r="A45" s="25" t="s">
        <v>53</v>
      </c>
      <c r="G45" s="271" t="s">
        <v>468</v>
      </c>
      <c r="H45" s="271"/>
      <c r="I45" s="271">
        <v>0</v>
      </c>
      <c r="J45" s="271">
        <v>0</v>
      </c>
      <c r="K45" s="271">
        <v>0</v>
      </c>
      <c r="L45" s="271">
        <v>0</v>
      </c>
      <c r="M45" s="271">
        <v>0</v>
      </c>
      <c r="N45" s="271">
        <v>0</v>
      </c>
      <c r="O45" s="271">
        <v>0</v>
      </c>
    </row>
    <row r="46" spans="1:15" x14ac:dyDescent="0.25">
      <c r="A46" s="25" t="s">
        <v>54</v>
      </c>
      <c r="G46" s="271" t="s">
        <v>469</v>
      </c>
      <c r="H46" s="271"/>
      <c r="I46" s="271">
        <v>0</v>
      </c>
      <c r="J46" s="271">
        <v>0</v>
      </c>
      <c r="K46" s="271">
        <v>0</v>
      </c>
      <c r="L46" s="271">
        <v>0</v>
      </c>
      <c r="M46" s="271">
        <v>0</v>
      </c>
      <c r="N46" s="271">
        <v>0</v>
      </c>
      <c r="O46" s="271">
        <v>0</v>
      </c>
    </row>
    <row r="47" spans="1:15" x14ac:dyDescent="0.25">
      <c r="A47" s="25" t="s">
        <v>55</v>
      </c>
      <c r="G47" s="271" t="s">
        <v>470</v>
      </c>
      <c r="H47" s="271"/>
      <c r="I47" s="271"/>
      <c r="J47" s="271"/>
      <c r="K47" s="271"/>
      <c r="L47" s="271"/>
      <c r="M47" s="271"/>
      <c r="N47" s="271"/>
      <c r="O47" s="271"/>
    </row>
    <row r="48" spans="1:15" x14ac:dyDescent="0.25">
      <c r="A48" s="25" t="s">
        <v>56</v>
      </c>
      <c r="G48" s="271" t="s">
        <v>471</v>
      </c>
      <c r="H48" s="271"/>
      <c r="I48" s="271">
        <v>1621.7184000000002</v>
      </c>
      <c r="J48" s="271">
        <v>597.47520000000009</v>
      </c>
      <c r="K48" s="271">
        <v>128.03040000000001</v>
      </c>
      <c r="L48" s="271">
        <v>128.03040000000001</v>
      </c>
      <c r="M48" s="271">
        <v>810.8592000000001</v>
      </c>
      <c r="N48" s="271">
        <v>981.56640000000016</v>
      </c>
      <c r="O48" s="271">
        <v>4267.68</v>
      </c>
    </row>
    <row r="49" spans="1:15" x14ac:dyDescent="0.25">
      <c r="A49" s="25" t="s">
        <v>57</v>
      </c>
      <c r="G49" s="271" t="s">
        <v>472</v>
      </c>
      <c r="H49" s="271"/>
      <c r="I49" s="271">
        <v>193.8</v>
      </c>
      <c r="J49" s="271">
        <v>71.40000000000002</v>
      </c>
      <c r="K49" s="271">
        <v>15.3</v>
      </c>
      <c r="L49" s="271">
        <v>15.3</v>
      </c>
      <c r="M49" s="271">
        <v>96.9</v>
      </c>
      <c r="N49" s="271">
        <v>117.30000000000001</v>
      </c>
      <c r="O49" s="271">
        <v>510.00000000000006</v>
      </c>
    </row>
    <row r="50" spans="1:15" x14ac:dyDescent="0.25">
      <c r="A50" s="25" t="s">
        <v>58</v>
      </c>
      <c r="G50" s="271" t="s">
        <v>473</v>
      </c>
      <c r="H50" s="271"/>
      <c r="I50" s="271">
        <v>310.08000000000004</v>
      </c>
      <c r="J50" s="271">
        <v>114.24000000000002</v>
      </c>
      <c r="K50" s="271">
        <v>24.480000000000004</v>
      </c>
      <c r="L50" s="271">
        <v>24.480000000000004</v>
      </c>
      <c r="M50" s="271">
        <v>155.04000000000002</v>
      </c>
      <c r="N50" s="271">
        <v>187.68000000000004</v>
      </c>
      <c r="O50" s="271">
        <v>816.00000000000011</v>
      </c>
    </row>
    <row r="51" spans="1:15" x14ac:dyDescent="0.25">
      <c r="A51" s="25" t="s">
        <v>59</v>
      </c>
      <c r="G51" s="271" t="s">
        <v>474</v>
      </c>
      <c r="H51" s="271"/>
      <c r="I51" s="271">
        <v>387.6</v>
      </c>
      <c r="J51" s="271">
        <v>142.80000000000004</v>
      </c>
      <c r="K51" s="271">
        <v>30.6</v>
      </c>
      <c r="L51" s="271">
        <v>30.6</v>
      </c>
      <c r="M51" s="271">
        <v>193.8</v>
      </c>
      <c r="N51" s="271">
        <v>234.60000000000002</v>
      </c>
      <c r="O51" s="271">
        <v>1020.0000000000001</v>
      </c>
    </row>
    <row r="52" spans="1:15" x14ac:dyDescent="0.25">
      <c r="A52" s="25" t="s">
        <v>60</v>
      </c>
      <c r="G52" s="271"/>
      <c r="H52" s="271"/>
      <c r="I52" s="271"/>
      <c r="J52" s="271"/>
      <c r="K52" s="271"/>
      <c r="L52" s="271"/>
      <c r="M52" s="271"/>
      <c r="N52" s="271"/>
      <c r="O52" s="271"/>
    </row>
    <row r="53" spans="1:15" x14ac:dyDescent="0.25">
      <c r="A53" s="25" t="s">
        <v>61</v>
      </c>
      <c r="G53" s="271" t="s">
        <v>149</v>
      </c>
      <c r="H53" s="271"/>
      <c r="I53" s="271"/>
      <c r="J53" s="271"/>
      <c r="K53" s="271"/>
      <c r="L53" s="271"/>
      <c r="M53" s="271"/>
      <c r="N53" s="271"/>
      <c r="O53" s="271"/>
    </row>
    <row r="54" spans="1:15" x14ac:dyDescent="0.25">
      <c r="A54" s="25" t="s">
        <v>62</v>
      </c>
      <c r="G54" s="271"/>
      <c r="H54" s="271"/>
      <c r="I54" s="271">
        <v>4055.2</v>
      </c>
      <c r="J54" s="271"/>
      <c r="K54" s="271"/>
      <c r="L54" s="271"/>
      <c r="M54" s="271"/>
      <c r="N54" s="271"/>
      <c r="O54" s="271">
        <v>4055.2</v>
      </c>
    </row>
    <row r="55" spans="1:15" x14ac:dyDescent="0.25">
      <c r="A55" s="25" t="s">
        <v>63</v>
      </c>
      <c r="G55" s="271" t="s">
        <v>475</v>
      </c>
      <c r="H55" s="271"/>
      <c r="I55" s="271"/>
      <c r="J55" s="271"/>
      <c r="K55" s="271"/>
      <c r="L55" s="271"/>
      <c r="M55" s="271"/>
      <c r="N55" s="271"/>
      <c r="O55" s="271"/>
    </row>
    <row r="56" spans="1:15" x14ac:dyDescent="0.25">
      <c r="A56" s="25" t="s">
        <v>64</v>
      </c>
      <c r="G56" s="271"/>
      <c r="H56" s="271"/>
      <c r="I56" s="271">
        <v>1419.94</v>
      </c>
      <c r="J56" s="271"/>
      <c r="K56" s="271"/>
      <c r="L56" s="271"/>
      <c r="M56" s="271"/>
      <c r="N56" s="271"/>
      <c r="O56" s="271">
        <v>1419.94</v>
      </c>
    </row>
    <row r="57" spans="1:15" x14ac:dyDescent="0.25">
      <c r="A57" s="25" t="s">
        <v>65</v>
      </c>
      <c r="G57" s="271"/>
      <c r="H57" s="271"/>
      <c r="I57" s="271"/>
      <c r="J57" s="271"/>
      <c r="K57" s="271"/>
      <c r="L57" s="271"/>
      <c r="M57" s="271"/>
      <c r="N57" s="271"/>
      <c r="O57" s="271"/>
    </row>
    <row r="58" spans="1:15" x14ac:dyDescent="0.25">
      <c r="A58" s="25" t="s">
        <v>66</v>
      </c>
      <c r="G58" s="271" t="s">
        <v>476</v>
      </c>
      <c r="H58" s="271"/>
      <c r="I58" s="271">
        <v>12424.528600000001</v>
      </c>
      <c r="J58" s="271">
        <v>21328.775800000003</v>
      </c>
      <c r="K58" s="271">
        <v>1913.3091000000002</v>
      </c>
      <c r="L58" s="271">
        <v>1913.3091000000002</v>
      </c>
      <c r="M58" s="271">
        <v>8617.6243000000013</v>
      </c>
      <c r="N58" s="271">
        <v>36406.403100000003</v>
      </c>
      <c r="O58" s="271">
        <v>82603.95</v>
      </c>
    </row>
    <row r="59" spans="1:15" x14ac:dyDescent="0.25">
      <c r="A59" s="25" t="s">
        <v>67</v>
      </c>
      <c r="G59" s="271" t="s">
        <v>477</v>
      </c>
      <c r="H59" s="271"/>
      <c r="I59" s="271">
        <v>56454.937000000005</v>
      </c>
      <c r="J59" s="271">
        <v>14632.31</v>
      </c>
      <c r="K59" s="271">
        <v>0</v>
      </c>
      <c r="L59" s="271">
        <v>0</v>
      </c>
      <c r="M59" s="271">
        <v>11648.56</v>
      </c>
      <c r="N59" s="271">
        <v>34659.240000000005</v>
      </c>
      <c r="O59" s="271">
        <v>117395.04700000001</v>
      </c>
    </row>
    <row r="60" spans="1:15" x14ac:dyDescent="0.25">
      <c r="A60" s="25" t="s">
        <v>68</v>
      </c>
      <c r="G60" s="271" t="s">
        <v>478</v>
      </c>
      <c r="H60" s="271"/>
      <c r="I60" s="271">
        <v>68879.845600000001</v>
      </c>
      <c r="J60" s="271">
        <v>35961.2258</v>
      </c>
      <c r="K60" s="271">
        <v>1913.3390999999999</v>
      </c>
      <c r="L60" s="271">
        <v>1913.3390999999999</v>
      </c>
      <c r="M60" s="271">
        <v>20266.374300000003</v>
      </c>
      <c r="N60" s="271">
        <v>71065.873100000012</v>
      </c>
      <c r="O60" s="271">
        <v>199999.99700000003</v>
      </c>
    </row>
    <row r="61" spans="1:15" x14ac:dyDescent="0.25">
      <c r="A61" s="25" t="s">
        <v>69</v>
      </c>
      <c r="G61" s="271" t="s">
        <v>479</v>
      </c>
      <c r="H61" s="271"/>
      <c r="I61" s="271">
        <v>0.344399228</v>
      </c>
      <c r="J61" s="271">
        <v>0.17980612900000001</v>
      </c>
      <c r="K61" s="271">
        <v>9.5666954999999998E-3</v>
      </c>
      <c r="L61" s="271">
        <v>9.5666954999999998E-3</v>
      </c>
      <c r="M61" s="271">
        <v>0.10133187150000002</v>
      </c>
      <c r="N61" s="271">
        <v>0.35532936550000005</v>
      </c>
      <c r="O61" s="271">
        <v>0.9999999850000002</v>
      </c>
    </row>
    <row r="62" spans="1:15" x14ac:dyDescent="0.25">
      <c r="A62" s="25" t="s">
        <v>70</v>
      </c>
      <c r="G62" s="271" t="s">
        <v>480</v>
      </c>
      <c r="H62" s="271"/>
      <c r="I62" s="271"/>
      <c r="J62" s="271">
        <v>0.15473116935084827</v>
      </c>
      <c r="K62" s="271">
        <v>31.888984999999998</v>
      </c>
      <c r="L62" s="271">
        <v>47.833477500000001</v>
      </c>
      <c r="M62" s="271">
        <v>202.66374300000004</v>
      </c>
      <c r="N62" s="271">
        <v>88.832341375000013</v>
      </c>
      <c r="O62" s="271">
        <v>0.85685763310212471</v>
      </c>
    </row>
    <row r="63" spans="1:15" x14ac:dyDescent="0.25">
      <c r="A63" s="25" t="s">
        <v>71</v>
      </c>
      <c r="G63" s="271"/>
      <c r="H63" s="271"/>
      <c r="I63" s="271" t="s">
        <v>460</v>
      </c>
      <c r="J63" s="271">
        <v>232411</v>
      </c>
      <c r="K63" s="271">
        <v>60</v>
      </c>
      <c r="L63" s="271">
        <v>40</v>
      </c>
      <c r="M63" s="271">
        <v>100</v>
      </c>
      <c r="N63" s="271">
        <v>800</v>
      </c>
      <c r="O63" s="271">
        <v>233411</v>
      </c>
    </row>
    <row r="64" spans="1:15" x14ac:dyDescent="0.25">
      <c r="A64" s="25" t="s">
        <v>72</v>
      </c>
      <c r="G64" s="271"/>
      <c r="H64" s="271"/>
      <c r="I64" s="271">
        <v>40</v>
      </c>
      <c r="J64" s="271">
        <v>8</v>
      </c>
      <c r="K64" s="271">
        <v>2</v>
      </c>
      <c r="L64" s="271">
        <v>3</v>
      </c>
      <c r="M64" s="271">
        <v>3</v>
      </c>
      <c r="N64" s="271">
        <v>36</v>
      </c>
      <c r="O64" s="271"/>
    </row>
    <row r="65" spans="1:15" x14ac:dyDescent="0.25">
      <c r="A65" s="25" t="s">
        <v>73</v>
      </c>
      <c r="G65" s="271" t="s">
        <v>481</v>
      </c>
      <c r="H65" s="271"/>
      <c r="I65" s="271">
        <v>68879.845600000001</v>
      </c>
      <c r="J65" s="271"/>
      <c r="K65" s="271"/>
      <c r="L65" s="271"/>
      <c r="M65" s="271"/>
      <c r="N65" s="271"/>
      <c r="O65" s="271"/>
    </row>
    <row r="66" spans="1:15" x14ac:dyDescent="0.25">
      <c r="A66" s="25" t="s">
        <v>74</v>
      </c>
      <c r="G66" s="271" t="s">
        <v>482</v>
      </c>
      <c r="H66" s="271"/>
      <c r="I66" s="271">
        <v>95158.925600000017</v>
      </c>
      <c r="J66" s="271"/>
      <c r="K66" s="271"/>
      <c r="L66" s="271"/>
      <c r="M66" s="271"/>
      <c r="N66" s="271"/>
      <c r="O66" s="271"/>
    </row>
    <row r="67" spans="1:15" x14ac:dyDescent="0.25">
      <c r="A67" s="25" t="s">
        <v>75</v>
      </c>
      <c r="G67" s="271" t="s">
        <v>483</v>
      </c>
      <c r="H67" s="271"/>
      <c r="I67" s="271">
        <v>35961.2258</v>
      </c>
      <c r="J67" s="271"/>
      <c r="K67" s="271"/>
      <c r="L67" s="271"/>
      <c r="M67" s="271"/>
      <c r="N67" s="271"/>
      <c r="O67" s="271"/>
    </row>
    <row r="68" spans="1:15" x14ac:dyDescent="0.25">
      <c r="A68" s="25" t="s">
        <v>76</v>
      </c>
      <c r="G68" s="271" t="s">
        <v>484</v>
      </c>
      <c r="H68" s="271"/>
      <c r="I68" s="271">
        <v>199999.99700000003</v>
      </c>
      <c r="J68" s="271"/>
      <c r="K68" s="271"/>
      <c r="L68" s="271"/>
      <c r="M68" s="271"/>
      <c r="N68" s="271"/>
      <c r="O68" s="271"/>
    </row>
    <row r="69" spans="1:15" x14ac:dyDescent="0.25">
      <c r="A69" s="25" t="s">
        <v>77</v>
      </c>
    </row>
    <row r="70" spans="1:15" x14ac:dyDescent="0.25">
      <c r="A70" s="25" t="s">
        <v>78</v>
      </c>
      <c r="G70" s="23" t="s">
        <v>437</v>
      </c>
      <c r="I70" s="23">
        <v>0.34439923316598847</v>
      </c>
      <c r="J70" s="23" t="s">
        <v>485</v>
      </c>
    </row>
    <row r="71" spans="1:15" x14ac:dyDescent="0.25">
      <c r="A71" s="25" t="s">
        <v>79</v>
      </c>
      <c r="G71" s="23" t="s">
        <v>486</v>
      </c>
      <c r="I71" s="23">
        <v>0.65560076683401158</v>
      </c>
      <c r="J71" s="23" t="s">
        <v>487</v>
      </c>
    </row>
    <row r="72" spans="1:15" x14ac:dyDescent="0.25">
      <c r="A72" s="25" t="s">
        <v>123</v>
      </c>
      <c r="G72" s="23" t="s">
        <v>488</v>
      </c>
    </row>
    <row r="73" spans="1:15" x14ac:dyDescent="0.25">
      <c r="A73" s="25" t="s">
        <v>81</v>
      </c>
      <c r="G73" s="23" t="s">
        <v>489</v>
      </c>
      <c r="I73" s="23">
        <v>0.72573837494821558</v>
      </c>
      <c r="J73" s="23" t="s">
        <v>490</v>
      </c>
    </row>
    <row r="74" spans="1:15" x14ac:dyDescent="0.25">
      <c r="A74" s="25" t="s">
        <v>82</v>
      </c>
      <c r="G74" s="23" t="s">
        <v>491</v>
      </c>
      <c r="I74" s="23">
        <v>0.27426162505178431</v>
      </c>
      <c r="J74" s="23" t="s">
        <v>492</v>
      </c>
    </row>
    <row r="75" spans="1:15" x14ac:dyDescent="0.25">
      <c r="A75" s="25" t="s">
        <v>124</v>
      </c>
    </row>
    <row r="76" spans="1:15" x14ac:dyDescent="0.25">
      <c r="A76" s="25" t="s">
        <v>125</v>
      </c>
      <c r="G76" s="23" t="s">
        <v>493</v>
      </c>
      <c r="I76" s="23">
        <v>200000</v>
      </c>
    </row>
    <row r="77" spans="1:15" x14ac:dyDescent="0.25">
      <c r="A77" s="25" t="s">
        <v>83</v>
      </c>
      <c r="G77" s="23" t="s">
        <v>494</v>
      </c>
      <c r="I77" s="23">
        <v>80000</v>
      </c>
    </row>
    <row r="78" spans="1:15" x14ac:dyDescent="0.25">
      <c r="A78" s="25" t="s">
        <v>84</v>
      </c>
      <c r="G78" s="23" t="s">
        <v>495</v>
      </c>
      <c r="I78" s="23">
        <v>120000</v>
      </c>
    </row>
    <row r="79" spans="1:15" x14ac:dyDescent="0.25">
      <c r="A79" s="25" t="s">
        <v>85</v>
      </c>
    </row>
    <row r="80" spans="1:15" x14ac:dyDescent="0.25">
      <c r="A80" s="25" t="s">
        <v>86</v>
      </c>
      <c r="K80" s="23" t="s">
        <v>496</v>
      </c>
    </row>
    <row r="81" spans="1:1" x14ac:dyDescent="0.25">
      <c r="A81" s="25" t="s">
        <v>87</v>
      </c>
    </row>
    <row r="82" spans="1:1" x14ac:dyDescent="0.25">
      <c r="A82" s="25" t="s">
        <v>88</v>
      </c>
    </row>
    <row r="83" spans="1:1" x14ac:dyDescent="0.25">
      <c r="A83" s="25" t="s">
        <v>89</v>
      </c>
    </row>
    <row r="84" spans="1:1" x14ac:dyDescent="0.25">
      <c r="A84" s="25" t="s">
        <v>90</v>
      </c>
    </row>
    <row r="85" spans="1:1" x14ac:dyDescent="0.25">
      <c r="A85" s="25" t="s">
        <v>91</v>
      </c>
    </row>
    <row r="86" spans="1:1" x14ac:dyDescent="0.25">
      <c r="A86" s="25" t="s">
        <v>92</v>
      </c>
    </row>
    <row r="87" spans="1:1" x14ac:dyDescent="0.25">
      <c r="A87" s="25" t="s">
        <v>93</v>
      </c>
    </row>
    <row r="88" spans="1:1" x14ac:dyDescent="0.25">
      <c r="A88" s="25" t="s">
        <v>94</v>
      </c>
    </row>
    <row r="89" spans="1:1" x14ac:dyDescent="0.25">
      <c r="A89" s="25" t="s">
        <v>95</v>
      </c>
    </row>
    <row r="90" spans="1:1" x14ac:dyDescent="0.25">
      <c r="A90" s="25" t="s">
        <v>96</v>
      </c>
    </row>
    <row r="91" spans="1:1" x14ac:dyDescent="0.25">
      <c r="A91" s="25" t="s">
        <v>97</v>
      </c>
    </row>
    <row r="92" spans="1:1" x14ac:dyDescent="0.25">
      <c r="A92" s="25" t="s">
        <v>98</v>
      </c>
    </row>
    <row r="93" spans="1:1" x14ac:dyDescent="0.25">
      <c r="A93" s="25" t="s">
        <v>99</v>
      </c>
    </row>
    <row r="94" spans="1:1" x14ac:dyDescent="0.25">
      <c r="A94" s="25" t="s">
        <v>100</v>
      </c>
    </row>
    <row r="95" spans="1:1" x14ac:dyDescent="0.25">
      <c r="A95" s="25" t="s">
        <v>102</v>
      </c>
    </row>
    <row r="96" spans="1:1" x14ac:dyDescent="0.25">
      <c r="A96" s="25" t="s">
        <v>103</v>
      </c>
    </row>
    <row r="97" spans="1:1" x14ac:dyDescent="0.25">
      <c r="A97" s="25" t="s">
        <v>104</v>
      </c>
    </row>
    <row r="98" spans="1:1" x14ac:dyDescent="0.25">
      <c r="A98" s="25" t="s">
        <v>105</v>
      </c>
    </row>
    <row r="99" spans="1:1" x14ac:dyDescent="0.25">
      <c r="A99" s="25" t="s">
        <v>106</v>
      </c>
    </row>
    <row r="100" spans="1:1" x14ac:dyDescent="0.25">
      <c r="A100" s="25" t="s">
        <v>107</v>
      </c>
    </row>
    <row r="101" spans="1:1" x14ac:dyDescent="0.25">
      <c r="A101" s="25" t="s">
        <v>108</v>
      </c>
    </row>
    <row r="102" spans="1:1" x14ac:dyDescent="0.25">
      <c r="A102" s="25" t="s">
        <v>109</v>
      </c>
    </row>
    <row r="103" spans="1:1" x14ac:dyDescent="0.25">
      <c r="A103" s="25" t="s">
        <v>110</v>
      </c>
    </row>
    <row r="104" spans="1:1" x14ac:dyDescent="0.25">
      <c r="A104" s="25" t="s">
        <v>111</v>
      </c>
    </row>
    <row r="105" spans="1:1" x14ac:dyDescent="0.25">
      <c r="A105" s="25" t="s">
        <v>112</v>
      </c>
    </row>
    <row r="106" spans="1:1" x14ac:dyDescent="0.25">
      <c r="A106" s="25" t="s">
        <v>113</v>
      </c>
    </row>
    <row r="107" spans="1:1" x14ac:dyDescent="0.25">
      <c r="A107" s="25" t="s">
        <v>114</v>
      </c>
    </row>
    <row r="108" spans="1:1" x14ac:dyDescent="0.25">
      <c r="A108" s="25" t="s">
        <v>115</v>
      </c>
    </row>
    <row r="109" spans="1:1" x14ac:dyDescent="0.25">
      <c r="A109" s="25" t="s">
        <v>126</v>
      </c>
    </row>
    <row r="110" spans="1:1" x14ac:dyDescent="0.25">
      <c r="A110" s="25" t="s">
        <v>127</v>
      </c>
    </row>
    <row r="111" spans="1:1" x14ac:dyDescent="0.25">
      <c r="A111" s="25" t="s">
        <v>128</v>
      </c>
    </row>
    <row r="112" spans="1:1" x14ac:dyDescent="0.25">
      <c r="A112" s="25" t="s">
        <v>129</v>
      </c>
    </row>
    <row r="113" spans="1:1" x14ac:dyDescent="0.25">
      <c r="A113" s="25" t="s">
        <v>130</v>
      </c>
    </row>
    <row r="114" spans="1:1" x14ac:dyDescent="0.25">
      <c r="A114" s="25" t="s">
        <v>131</v>
      </c>
    </row>
    <row r="115" spans="1:1" x14ac:dyDescent="0.25">
      <c r="A115" s="25" t="s">
        <v>132</v>
      </c>
    </row>
    <row r="116" spans="1:1" x14ac:dyDescent="0.25">
      <c r="A116" s="25" t="s">
        <v>116</v>
      </c>
    </row>
    <row r="117" spans="1:1" x14ac:dyDescent="0.25">
      <c r="A117" s="25" t="s">
        <v>117</v>
      </c>
    </row>
    <row r="118" spans="1:1" x14ac:dyDescent="0.25">
      <c r="A118" s="25" t="s">
        <v>118</v>
      </c>
    </row>
    <row r="119" spans="1:1" x14ac:dyDescent="0.25">
      <c r="A119" s="2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F222-DAAB-4087-A31E-363315ECA12B}">
  <sheetPr>
    <tabColor theme="0" tint="-0.499984740745262"/>
  </sheetPr>
  <dimension ref="A1:L308"/>
  <sheetViews>
    <sheetView topLeftCell="A4" zoomScaleNormal="100" workbookViewId="0">
      <pane xSplit="4" ySplit="4" topLeftCell="E251" activePane="bottomRight" state="frozen"/>
      <selection activeCell="A4" sqref="A4"/>
      <selection pane="topRight" activeCell="B4" sqref="B4"/>
      <selection pane="bottomLeft" activeCell="A8" sqref="A8"/>
      <selection pane="bottomRight" activeCell="A7" sqref="A7"/>
    </sheetView>
  </sheetViews>
  <sheetFormatPr defaultColWidth="7.7109375" defaultRowHeight="15" x14ac:dyDescent="0.25"/>
  <cols>
    <col min="1" max="1" width="44.7109375" style="23" customWidth="1"/>
    <col min="2" max="3" width="9.140625" style="23"/>
    <col min="4" max="4" width="37.7109375" style="160" bestFit="1" customWidth="1"/>
    <col min="5" max="9" width="26.7109375" style="160" customWidth="1"/>
    <col min="10" max="10" width="68.5703125" style="261" customWidth="1"/>
    <col min="11" max="11" width="13" style="160" customWidth="1"/>
    <col min="12" max="12" width="8.7109375" style="160" customWidth="1"/>
    <col min="13" max="16384" width="7.7109375" style="160"/>
  </cols>
  <sheetData>
    <row r="1" spans="1:12" ht="55.5" customHeight="1" x14ac:dyDescent="0.25">
      <c r="D1" s="640" t="s">
        <v>497</v>
      </c>
      <c r="E1" s="640"/>
      <c r="F1" s="640"/>
      <c r="G1" s="640"/>
      <c r="H1" s="640"/>
      <c r="I1" s="640"/>
      <c r="J1" s="640"/>
      <c r="K1" s="159"/>
      <c r="L1" s="159"/>
    </row>
    <row r="2" spans="1:12" ht="18" customHeight="1" x14ac:dyDescent="0.25">
      <c r="D2" s="161"/>
      <c r="E2" s="161"/>
      <c r="F2" s="161"/>
      <c r="G2" s="161"/>
      <c r="H2" s="161"/>
      <c r="I2" s="161"/>
      <c r="J2" s="161"/>
      <c r="K2" s="161"/>
      <c r="L2" s="161"/>
    </row>
    <row r="3" spans="1:12" ht="44.25" customHeight="1" x14ac:dyDescent="0.25">
      <c r="D3" s="162" t="s">
        <v>498</v>
      </c>
      <c r="E3" s="641" t="s">
        <v>499</v>
      </c>
      <c r="F3" s="641"/>
      <c r="G3" s="641"/>
      <c r="H3" s="641"/>
      <c r="I3" s="641"/>
      <c r="J3" s="641"/>
      <c r="K3" s="161"/>
      <c r="L3" s="161"/>
    </row>
    <row r="4" spans="1:12" ht="31.5" customHeight="1" x14ac:dyDescent="0.25">
      <c r="D4" s="163" t="s">
        <v>500</v>
      </c>
      <c r="E4" s="642" t="s">
        <v>501</v>
      </c>
      <c r="F4" s="642"/>
      <c r="G4" s="642"/>
      <c r="H4" s="642"/>
      <c r="I4" s="642"/>
      <c r="J4" s="642"/>
      <c r="K4" s="161"/>
    </row>
    <row r="5" spans="1:12" ht="18" customHeight="1" x14ac:dyDescent="0.25">
      <c r="A5" s="24"/>
      <c r="D5" s="161"/>
      <c r="E5" s="164"/>
      <c r="F5" s="164"/>
      <c r="G5" s="164"/>
      <c r="H5" s="164"/>
      <c r="I5" s="164"/>
      <c r="J5" s="164"/>
      <c r="K5" s="161"/>
    </row>
    <row r="6" spans="1:12" ht="35.25" customHeight="1" x14ac:dyDescent="0.25">
      <c r="A6" s="24"/>
      <c r="D6" s="643" t="s">
        <v>502</v>
      </c>
      <c r="E6" s="644"/>
      <c r="F6" s="644"/>
      <c r="G6" s="644"/>
      <c r="H6" s="644"/>
      <c r="I6" s="644"/>
      <c r="J6" s="645"/>
      <c r="K6" s="165"/>
      <c r="L6" s="161"/>
    </row>
    <row r="7" spans="1:12" s="174" customFormat="1" ht="71.25" customHeight="1" x14ac:dyDescent="0.25">
      <c r="A7" s="25"/>
      <c r="B7" s="23"/>
      <c r="C7" s="23"/>
      <c r="D7" s="166"/>
      <c r="E7" s="167" t="str">
        <f>D21</f>
        <v>WISE Direct Programming</v>
      </c>
      <c r="F7" s="168" t="str">
        <f>D85</f>
        <v>Informational Campaign</v>
      </c>
      <c r="G7" s="169" t="str">
        <f>D145</f>
        <v>[Strategy Name]</v>
      </c>
      <c r="H7" s="170" t="str">
        <f>D198</f>
        <v>[Strategy Name]</v>
      </c>
      <c r="I7" s="171" t="str">
        <f>D251</f>
        <v>Community Mobilization and Coalition Management</v>
      </c>
      <c r="J7" s="646" t="s">
        <v>133</v>
      </c>
      <c r="K7" s="172"/>
      <c r="L7" s="173"/>
    </row>
    <row r="8" spans="1:12" ht="52.5" customHeight="1" x14ac:dyDescent="0.25">
      <c r="A8" s="25" t="s">
        <v>19</v>
      </c>
      <c r="D8" s="175" t="s">
        <v>503</v>
      </c>
      <c r="E8" s="176" t="s">
        <v>504</v>
      </c>
      <c r="F8" s="176" t="s">
        <v>505</v>
      </c>
      <c r="G8" s="176" t="s">
        <v>506</v>
      </c>
      <c r="H8" s="176" t="s">
        <v>507</v>
      </c>
      <c r="I8" s="177"/>
      <c r="J8" s="646"/>
      <c r="K8" s="178"/>
    </row>
    <row r="9" spans="1:12" ht="16.5" customHeight="1" x14ac:dyDescent="0.25">
      <c r="A9" s="25" t="s">
        <v>120</v>
      </c>
      <c r="D9" s="179" t="s">
        <v>508</v>
      </c>
      <c r="E9" s="180">
        <f>H33</f>
        <v>12850</v>
      </c>
      <c r="F9" s="180">
        <f>H97</f>
        <v>6500</v>
      </c>
      <c r="G9" s="180">
        <f>H153</f>
        <v>0</v>
      </c>
      <c r="H9" s="180">
        <f>H206</f>
        <v>0</v>
      </c>
      <c r="I9" s="181">
        <f>H263</f>
        <v>33452</v>
      </c>
      <c r="J9" s="182">
        <f>SUM(E9:I9)</f>
        <v>52802</v>
      </c>
      <c r="K9" s="178"/>
    </row>
    <row r="10" spans="1:12" ht="16.5" customHeight="1" x14ac:dyDescent="0.25">
      <c r="A10" s="25" t="s">
        <v>121</v>
      </c>
      <c r="D10" s="183" t="s">
        <v>276</v>
      </c>
      <c r="E10" s="180">
        <f>I33</f>
        <v>2486.4750000000004</v>
      </c>
      <c r="F10" s="180">
        <f>I97</f>
        <v>1257.75</v>
      </c>
      <c r="G10" s="180">
        <f>I153</f>
        <v>0</v>
      </c>
      <c r="H10" s="180">
        <f>I206</f>
        <v>0</v>
      </c>
      <c r="I10" s="184">
        <f>I263</f>
        <v>6472.9620000000014</v>
      </c>
      <c r="J10" s="182">
        <f t="shared" ref="J10:J16" si="0">SUM(E10:I10)</f>
        <v>10217.187000000002</v>
      </c>
      <c r="K10" s="178"/>
    </row>
    <row r="11" spans="1:12" ht="16.5" customHeight="1" x14ac:dyDescent="0.25">
      <c r="A11" s="25" t="s">
        <v>20</v>
      </c>
      <c r="D11" s="185" t="s">
        <v>509</v>
      </c>
      <c r="E11" s="186">
        <f>I45</f>
        <v>23460.225599999998</v>
      </c>
      <c r="F11" s="186">
        <f>I106</f>
        <v>14001.2256</v>
      </c>
      <c r="G11" s="180">
        <f>I161</f>
        <v>0</v>
      </c>
      <c r="H11" s="180">
        <f>I214</f>
        <v>0</v>
      </c>
      <c r="I11" s="184">
        <f>I272</f>
        <v>2669.8688000000002</v>
      </c>
      <c r="J11" s="182">
        <f t="shared" si="0"/>
        <v>40131.319999999992</v>
      </c>
      <c r="K11" s="178"/>
    </row>
    <row r="12" spans="1:12" ht="16.5" customHeight="1" x14ac:dyDescent="0.25">
      <c r="A12" s="25" t="s">
        <v>21</v>
      </c>
      <c r="D12" s="185" t="s">
        <v>510</v>
      </c>
      <c r="E12" s="186">
        <f>I55</f>
        <v>4880</v>
      </c>
      <c r="F12" s="186">
        <f>I115</f>
        <v>0</v>
      </c>
      <c r="G12" s="186">
        <f>I170</f>
        <v>0</v>
      </c>
      <c r="H12" s="180">
        <f>I223</f>
        <v>0</v>
      </c>
      <c r="I12" s="184">
        <f>I281</f>
        <v>0</v>
      </c>
      <c r="J12" s="182">
        <f t="shared" si="0"/>
        <v>4880</v>
      </c>
      <c r="K12" s="178"/>
    </row>
    <row r="13" spans="1:12" ht="16.5" customHeight="1" x14ac:dyDescent="0.25">
      <c r="A13" s="25" t="s">
        <v>22</v>
      </c>
      <c r="D13" s="183" t="s">
        <v>139</v>
      </c>
      <c r="E13" s="186">
        <f>I63</f>
        <v>0</v>
      </c>
      <c r="F13" s="186">
        <f>I123</f>
        <v>0</v>
      </c>
      <c r="G13" s="180">
        <f>I178</f>
        <v>0</v>
      </c>
      <c r="H13" s="180">
        <f>I231</f>
        <v>0</v>
      </c>
      <c r="I13" s="184">
        <f>I289</f>
        <v>0</v>
      </c>
      <c r="J13" s="182">
        <f t="shared" si="0"/>
        <v>0</v>
      </c>
      <c r="K13" s="178"/>
    </row>
    <row r="14" spans="1:12" ht="16.5" customHeight="1" x14ac:dyDescent="0.25">
      <c r="A14" s="25" t="s">
        <v>23</v>
      </c>
      <c r="D14" s="183" t="s">
        <v>511</v>
      </c>
      <c r="E14" s="180">
        <f>I72</f>
        <v>1060</v>
      </c>
      <c r="F14" s="180">
        <f>I132</f>
        <v>1060</v>
      </c>
      <c r="G14" s="180">
        <f>I186</f>
        <v>0</v>
      </c>
      <c r="H14" s="180">
        <f>I239</f>
        <v>0</v>
      </c>
      <c r="I14" s="184">
        <f>I298</f>
        <v>2427.2399999999998</v>
      </c>
      <c r="J14" s="182">
        <f t="shared" si="0"/>
        <v>4547.24</v>
      </c>
      <c r="K14" s="178"/>
    </row>
    <row r="15" spans="1:12" ht="16.5" customHeight="1" x14ac:dyDescent="0.25">
      <c r="A15" s="25" t="s">
        <v>24</v>
      </c>
      <c r="D15" s="183" t="s">
        <v>250</v>
      </c>
      <c r="E15" s="187">
        <f>I81</f>
        <v>3722.3472000000002</v>
      </c>
      <c r="F15" s="187">
        <f>I141-0.31</f>
        <v>3722.0372000000002</v>
      </c>
      <c r="G15" s="187">
        <f>I194</f>
        <v>0</v>
      </c>
      <c r="H15" s="187">
        <f>I247</f>
        <v>0</v>
      </c>
      <c r="I15" s="188">
        <f>I308</f>
        <v>4977.8656000000001</v>
      </c>
      <c r="J15" s="189">
        <f t="shared" si="0"/>
        <v>12422.25</v>
      </c>
      <c r="K15" s="178"/>
    </row>
    <row r="16" spans="1:12" ht="16.5" customHeight="1" x14ac:dyDescent="0.25">
      <c r="A16" s="25" t="s">
        <v>25</v>
      </c>
      <c r="D16" s="190" t="s">
        <v>512</v>
      </c>
      <c r="E16" s="191">
        <f t="shared" ref="E16:I16" si="1">SUM(E9:E15)</f>
        <v>48459.0478</v>
      </c>
      <c r="F16" s="191">
        <f t="shared" si="1"/>
        <v>26541.012799999997</v>
      </c>
      <c r="G16" s="191">
        <f t="shared" si="1"/>
        <v>0</v>
      </c>
      <c r="H16" s="191">
        <f t="shared" si="1"/>
        <v>0</v>
      </c>
      <c r="I16" s="191">
        <f t="shared" si="1"/>
        <v>49999.936399999991</v>
      </c>
      <c r="J16" s="192">
        <f t="shared" si="0"/>
        <v>124999.99699999999</v>
      </c>
      <c r="K16" s="178"/>
      <c r="L16" s="193">
        <f>125000-J16</f>
        <v>3.0000000115251169E-3</v>
      </c>
    </row>
    <row r="17" spans="1:12" ht="16.5" customHeight="1" x14ac:dyDescent="0.25">
      <c r="A17" s="25" t="s">
        <v>26</v>
      </c>
      <c r="D17" s="194" t="s">
        <v>513</v>
      </c>
      <c r="E17" s="195">
        <f>F21</f>
        <v>144</v>
      </c>
      <c r="F17" s="195">
        <f>F85</f>
        <v>76500</v>
      </c>
      <c r="G17" s="195">
        <f>F145</f>
        <v>1</v>
      </c>
      <c r="H17" s="195">
        <f>F198</f>
        <v>1</v>
      </c>
      <c r="I17" s="196" t="str">
        <f>F251</f>
        <v>N.A.</v>
      </c>
      <c r="J17" s="197">
        <f>SUM(E17:I17)</f>
        <v>76646</v>
      </c>
      <c r="K17" s="178"/>
    </row>
    <row r="18" spans="1:12" ht="16.5" customHeight="1" x14ac:dyDescent="0.25">
      <c r="A18" s="25" t="s">
        <v>27</v>
      </c>
      <c r="D18" s="194" t="s">
        <v>514</v>
      </c>
      <c r="E18" s="191">
        <f>E16/E17</f>
        <v>336.52116527777775</v>
      </c>
      <c r="F18" s="191">
        <f>F16/F17</f>
        <v>0.34694134379084962</v>
      </c>
      <c r="G18" s="191">
        <f>G16/G17</f>
        <v>0</v>
      </c>
      <c r="H18" s="191">
        <f>H16/H17</f>
        <v>0</v>
      </c>
      <c r="I18" s="196" t="s">
        <v>515</v>
      </c>
      <c r="J18" s="198" t="s">
        <v>515</v>
      </c>
      <c r="K18" s="178"/>
    </row>
    <row r="19" spans="1:12" ht="16.5" customHeight="1" thickBot="1" x14ac:dyDescent="0.3">
      <c r="A19" s="25" t="s">
        <v>28</v>
      </c>
      <c r="D19" s="199"/>
      <c r="E19" s="200"/>
      <c r="F19" s="200"/>
      <c r="G19" s="200"/>
      <c r="H19" s="200"/>
      <c r="I19" s="200"/>
      <c r="J19" s="201"/>
      <c r="K19" s="202"/>
    </row>
    <row r="20" spans="1:12" ht="16.5" customHeight="1" thickBot="1" x14ac:dyDescent="0.3">
      <c r="A20" s="25" t="s">
        <v>122</v>
      </c>
      <c r="D20" s="647" t="s">
        <v>516</v>
      </c>
      <c r="E20" s="648"/>
      <c r="F20" s="203" t="s">
        <v>513</v>
      </c>
      <c r="G20" s="200"/>
      <c r="H20" s="200"/>
      <c r="I20" s="200"/>
      <c r="J20" s="204"/>
      <c r="K20" s="205"/>
      <c r="L20" s="205"/>
    </row>
    <row r="21" spans="1:12" ht="16.5" customHeight="1" thickBot="1" x14ac:dyDescent="0.3">
      <c r="A21" s="25" t="s">
        <v>29</v>
      </c>
      <c r="D21" s="633" t="s">
        <v>517</v>
      </c>
      <c r="E21" s="634"/>
      <c r="F21" s="206">
        <v>144</v>
      </c>
      <c r="G21" s="207"/>
      <c r="H21" s="207"/>
      <c r="I21" s="207"/>
      <c r="J21" s="204"/>
      <c r="K21" s="205"/>
      <c r="L21" s="205"/>
    </row>
    <row r="22" spans="1:12" ht="16.5" customHeight="1" x14ac:dyDescent="0.25">
      <c r="A22" s="25" t="s">
        <v>30</v>
      </c>
      <c r="D22" s="635" t="s">
        <v>518</v>
      </c>
      <c r="E22" s="635"/>
      <c r="F22" s="635"/>
      <c r="G22" s="635"/>
      <c r="H22" s="636"/>
      <c r="I22" s="636"/>
      <c r="J22" s="208" t="s">
        <v>519</v>
      </c>
    </row>
    <row r="23" spans="1:12" s="214" customFormat="1" ht="38.25" x14ac:dyDescent="0.25">
      <c r="A23" s="25" t="s">
        <v>31</v>
      </c>
      <c r="B23" s="23"/>
      <c r="C23" s="23"/>
      <c r="D23" s="209" t="s">
        <v>520</v>
      </c>
      <c r="E23" s="209" t="s">
        <v>521</v>
      </c>
      <c r="F23" s="209" t="s">
        <v>522</v>
      </c>
      <c r="G23" s="209" t="s">
        <v>523</v>
      </c>
      <c r="H23" s="210" t="s">
        <v>524</v>
      </c>
      <c r="I23" s="210" t="s">
        <v>525</v>
      </c>
      <c r="J23" s="211" t="s">
        <v>496</v>
      </c>
      <c r="K23" s="212" t="s">
        <v>496</v>
      </c>
      <c r="L23" s="213"/>
    </row>
    <row r="24" spans="1:12" x14ac:dyDescent="0.25">
      <c r="A24" s="25" t="s">
        <v>32</v>
      </c>
      <c r="D24" s="215"/>
      <c r="E24" s="216">
        <f>'[2]Salary Distribution'!T4</f>
        <v>92000</v>
      </c>
      <c r="F24" s="216">
        <f>E24*0.1935</f>
        <v>17802</v>
      </c>
      <c r="G24" s="217">
        <f>'[2]Salary Distribution'!L4</f>
        <v>0</v>
      </c>
      <c r="H24" s="216">
        <f>E24*G24</f>
        <v>0</v>
      </c>
      <c r="I24" s="216">
        <f>F24*G24</f>
        <v>0</v>
      </c>
      <c r="J24" s="218" t="s">
        <v>526</v>
      </c>
    </row>
    <row r="25" spans="1:12" x14ac:dyDescent="0.25">
      <c r="A25" s="25" t="s">
        <v>33</v>
      </c>
      <c r="D25" s="215" t="str">
        <f>[2]Sheet1!B5</f>
        <v>Prevention Specialist, Amanda Clemmer</v>
      </c>
      <c r="E25" s="216">
        <f>'[2]Salary Distribution'!T5</f>
        <v>40000</v>
      </c>
      <c r="F25" s="216">
        <f t="shared" ref="F25:F32" si="2">E25*0.1935</f>
        <v>7740</v>
      </c>
      <c r="G25" s="217">
        <f>'[2]Salary Distribution'!L5</f>
        <v>0.05</v>
      </c>
      <c r="H25" s="216">
        <f t="shared" ref="H25:H32" si="3">E25*G25</f>
        <v>2000</v>
      </c>
      <c r="I25" s="216">
        <f t="shared" ref="I25:I32" si="4">F25*G25</f>
        <v>387</v>
      </c>
      <c r="J25" s="219" t="s">
        <v>527</v>
      </c>
    </row>
    <row r="26" spans="1:12" x14ac:dyDescent="0.25">
      <c r="A26" s="25" t="s">
        <v>34</v>
      </c>
      <c r="D26" s="215" t="str">
        <f>[2]Sheet1!B6</f>
        <v>Emily DelGrosso, N/A this grant</v>
      </c>
      <c r="E26" s="216">
        <f>'[2]Salary Distribution'!T6</f>
        <v>37080</v>
      </c>
      <c r="F26" s="216">
        <f t="shared" si="2"/>
        <v>7174.9800000000005</v>
      </c>
      <c r="G26" s="217">
        <f>'[2]Salary Distribution'!L6</f>
        <v>0</v>
      </c>
      <c r="H26" s="216">
        <f t="shared" si="3"/>
        <v>0</v>
      </c>
      <c r="I26" s="216">
        <f t="shared" si="4"/>
        <v>0</v>
      </c>
      <c r="J26" s="218" t="s">
        <v>526</v>
      </c>
    </row>
    <row r="27" spans="1:12" x14ac:dyDescent="0.25">
      <c r="A27" s="25" t="s">
        <v>35</v>
      </c>
      <c r="D27" s="215" t="str">
        <f>[2]Sheet1!B7</f>
        <v>Prevention Specialist, Aisha Diss</v>
      </c>
      <c r="E27" s="216">
        <f>'[2]Salary Distribution'!T7</f>
        <v>0</v>
      </c>
      <c r="F27" s="216">
        <f t="shared" si="2"/>
        <v>0</v>
      </c>
      <c r="G27" s="217">
        <f>'[2]Salary Distribution'!L7</f>
        <v>0</v>
      </c>
      <c r="H27" s="216">
        <f t="shared" si="3"/>
        <v>0</v>
      </c>
      <c r="I27" s="216">
        <f t="shared" si="4"/>
        <v>0</v>
      </c>
      <c r="J27" s="218" t="s">
        <v>526</v>
      </c>
    </row>
    <row r="28" spans="1:12" x14ac:dyDescent="0.25">
      <c r="A28" s="25" t="s">
        <v>36</v>
      </c>
      <c r="D28" s="215" t="str">
        <f>[2]Sheet1!B8</f>
        <v>Director of Programs, Monique Johnson</v>
      </c>
      <c r="E28" s="216">
        <f>'[2]Salary Distribution'!T8</f>
        <v>50000</v>
      </c>
      <c r="F28" s="216">
        <f t="shared" si="2"/>
        <v>9675</v>
      </c>
      <c r="G28" s="217">
        <f>'[2]Salary Distribution'!L8</f>
        <v>0.05</v>
      </c>
      <c r="H28" s="216">
        <f t="shared" si="3"/>
        <v>2500</v>
      </c>
      <c r="I28" s="216">
        <f t="shared" si="4"/>
        <v>483.75</v>
      </c>
      <c r="J28" s="219" t="s">
        <v>528</v>
      </c>
    </row>
    <row r="29" spans="1:12" x14ac:dyDescent="0.25">
      <c r="A29" s="25" t="s">
        <v>37</v>
      </c>
      <c r="D29" s="215" t="str">
        <f>[2]Sheet1!B9</f>
        <v>Director of Projects, Tanya McKinney</v>
      </c>
      <c r="E29" s="216">
        <f>'[2]Salary Distribution'!T9</f>
        <v>50000</v>
      </c>
      <c r="F29" s="216">
        <f t="shared" si="2"/>
        <v>9675</v>
      </c>
      <c r="G29" s="217">
        <f>'[2]Salary Distribution'!L9</f>
        <v>0.05</v>
      </c>
      <c r="H29" s="216">
        <f t="shared" si="3"/>
        <v>2500</v>
      </c>
      <c r="I29" s="216">
        <f t="shared" si="4"/>
        <v>483.75</v>
      </c>
      <c r="J29" s="220" t="s">
        <v>529</v>
      </c>
    </row>
    <row r="30" spans="1:12" x14ac:dyDescent="0.25">
      <c r="A30" s="25" t="s">
        <v>38</v>
      </c>
      <c r="D30" s="215" t="str">
        <f>[2]Sheet1!B10</f>
        <v>Population Specialist, Miss Doris Thomas</v>
      </c>
      <c r="E30" s="216">
        <f>'[2]Salary Distribution'!T10</f>
        <v>11700</v>
      </c>
      <c r="F30" s="216">
        <f t="shared" si="2"/>
        <v>2263.9500000000003</v>
      </c>
      <c r="G30" s="217">
        <f>'[2]Salary Distribution'!L10</f>
        <v>0.5</v>
      </c>
      <c r="H30" s="216">
        <f t="shared" si="3"/>
        <v>5850</v>
      </c>
      <c r="I30" s="216">
        <f t="shared" si="4"/>
        <v>1131.9750000000001</v>
      </c>
      <c r="J30" s="220" t="s">
        <v>530</v>
      </c>
    </row>
    <row r="31" spans="1:12" x14ac:dyDescent="0.25">
      <c r="A31" s="25" t="s">
        <v>39</v>
      </c>
      <c r="D31" s="215" t="str">
        <f>[2]Sheet1!B11</f>
        <v>Finance Manager, Bill Rondeau</v>
      </c>
      <c r="E31" s="216">
        <f>'[2]Salary Distribution'!T11</f>
        <v>58240</v>
      </c>
      <c r="F31" s="216">
        <f t="shared" si="2"/>
        <v>11269.44</v>
      </c>
      <c r="G31" s="217">
        <f>'[2]Salary Distribution'!L11</f>
        <v>0</v>
      </c>
      <c r="H31" s="216">
        <f t="shared" si="3"/>
        <v>0</v>
      </c>
      <c r="I31" s="216">
        <f t="shared" si="4"/>
        <v>0</v>
      </c>
      <c r="J31" s="218" t="s">
        <v>526</v>
      </c>
    </row>
    <row r="32" spans="1:12" x14ac:dyDescent="0.25">
      <c r="A32" s="25" t="s">
        <v>40</v>
      </c>
      <c r="D32" s="215" t="str">
        <f>[2]Sheet1!B12</f>
        <v>Training Coordinator, Jen Norris-Hale</v>
      </c>
      <c r="E32" s="216">
        <f>'[2]Salary Distribution'!T14</f>
        <v>0</v>
      </c>
      <c r="F32" s="216">
        <f t="shared" si="2"/>
        <v>0</v>
      </c>
      <c r="G32" s="217">
        <f>'[2]Salary Distribution'!L12</f>
        <v>0</v>
      </c>
      <c r="H32" s="216">
        <f t="shared" si="3"/>
        <v>0</v>
      </c>
      <c r="I32" s="216">
        <f t="shared" si="4"/>
        <v>0</v>
      </c>
      <c r="J32" s="221" t="s">
        <v>526</v>
      </c>
    </row>
    <row r="33" spans="1:11" ht="16.5" customHeight="1" x14ac:dyDescent="0.25">
      <c r="A33" s="25" t="s">
        <v>41</v>
      </c>
      <c r="D33" s="637" t="s">
        <v>133</v>
      </c>
      <c r="E33" s="637"/>
      <c r="F33" s="637"/>
      <c r="G33" s="637"/>
      <c r="H33" s="222">
        <f>SUM(H24:H32)</f>
        <v>12850</v>
      </c>
      <c r="I33" s="222">
        <f>SUM(I24:I32)</f>
        <v>2486.4750000000004</v>
      </c>
      <c r="J33" s="223"/>
    </row>
    <row r="34" spans="1:11" ht="16.5" customHeight="1" x14ac:dyDescent="0.25">
      <c r="A34" s="25" t="s">
        <v>42</v>
      </c>
      <c r="D34" s="224"/>
      <c r="E34" s="224"/>
      <c r="F34" s="224"/>
      <c r="G34" s="225">
        <f>SUM(G24:G32)</f>
        <v>0.65</v>
      </c>
      <c r="H34" s="226"/>
      <c r="I34" s="226"/>
      <c r="J34" s="226"/>
      <c r="K34" s="227"/>
    </row>
    <row r="35" spans="1:11" ht="16.5" customHeight="1" x14ac:dyDescent="0.25">
      <c r="A35" s="25" t="s">
        <v>43</v>
      </c>
      <c r="D35" s="638" t="s">
        <v>531</v>
      </c>
      <c r="E35" s="638"/>
      <c r="F35" s="638"/>
      <c r="G35" s="638"/>
      <c r="H35" s="639"/>
      <c r="I35" s="639"/>
      <c r="J35" s="208" t="s">
        <v>519</v>
      </c>
    </row>
    <row r="36" spans="1:11" x14ac:dyDescent="0.25">
      <c r="A36" s="25" t="s">
        <v>44</v>
      </c>
      <c r="D36" s="209" t="s">
        <v>532</v>
      </c>
      <c r="E36" s="660" t="s">
        <v>533</v>
      </c>
      <c r="F36" s="660"/>
      <c r="G36" s="660"/>
      <c r="H36" s="660"/>
      <c r="I36" s="209" t="s">
        <v>534</v>
      </c>
      <c r="J36" s="228"/>
    </row>
    <row r="37" spans="1:11" ht="31.5" customHeight="1" x14ac:dyDescent="0.25">
      <c r="A37" s="25" t="s">
        <v>45</v>
      </c>
      <c r="D37" s="215" t="s">
        <v>535</v>
      </c>
      <c r="E37" s="649" t="s">
        <v>536</v>
      </c>
      <c r="F37" s="649"/>
      <c r="G37" s="649"/>
      <c r="H37" s="649"/>
      <c r="I37" s="229">
        <f>35*72*3</f>
        <v>7560</v>
      </c>
      <c r="J37" s="228"/>
    </row>
    <row r="38" spans="1:11" ht="44.25" customHeight="1" x14ac:dyDescent="0.25">
      <c r="A38" s="25" t="s">
        <v>46</v>
      </c>
      <c r="D38" s="215" t="s">
        <v>537</v>
      </c>
      <c r="E38" s="661" t="s">
        <v>538</v>
      </c>
      <c r="F38" s="662"/>
      <c r="G38" s="662"/>
      <c r="H38" s="663"/>
      <c r="I38" s="229">
        <f>2361+9500</f>
        <v>11861</v>
      </c>
      <c r="J38" s="228"/>
    </row>
    <row r="39" spans="1:11" ht="30" customHeight="1" x14ac:dyDescent="0.25">
      <c r="A39" s="25" t="s">
        <v>47</v>
      </c>
      <c r="D39" s="215" t="s">
        <v>537</v>
      </c>
      <c r="E39" s="649" t="s">
        <v>539</v>
      </c>
      <c r="F39" s="649"/>
      <c r="G39" s="649"/>
      <c r="H39" s="649"/>
      <c r="I39" s="229">
        <f>392+1646</f>
        <v>2038</v>
      </c>
      <c r="J39" s="230"/>
    </row>
    <row r="40" spans="1:11" ht="15.75" customHeight="1" x14ac:dyDescent="0.25">
      <c r="A40" s="25" t="s">
        <v>48</v>
      </c>
      <c r="D40" s="215" t="s">
        <v>200</v>
      </c>
      <c r="E40" s="649" t="s">
        <v>540</v>
      </c>
      <c r="F40" s="649"/>
      <c r="G40" s="649"/>
      <c r="H40" s="649"/>
      <c r="I40" s="229">
        <f>[2]Calculations!P23*[2]Calculations!O93</f>
        <v>396.26400000000001</v>
      </c>
      <c r="J40" s="230" t="s">
        <v>541</v>
      </c>
    </row>
    <row r="41" spans="1:11" ht="15.75" customHeight="1" x14ac:dyDescent="0.25">
      <c r="A41" s="25" t="s">
        <v>49</v>
      </c>
      <c r="D41" s="231" t="s">
        <v>542</v>
      </c>
      <c r="E41" s="649" t="s">
        <v>543</v>
      </c>
      <c r="F41" s="649"/>
      <c r="G41" s="649"/>
      <c r="H41" s="649"/>
      <c r="I41" s="229">
        <f>[2]Calculations!P24*[2]Calculations!O93</f>
        <v>623.04000000000008</v>
      </c>
      <c r="J41" s="230" t="s">
        <v>541</v>
      </c>
    </row>
    <row r="42" spans="1:11" ht="15.75" customHeight="1" x14ac:dyDescent="0.25">
      <c r="A42" s="25" t="s">
        <v>50</v>
      </c>
      <c r="D42" s="215" t="s">
        <v>544</v>
      </c>
      <c r="E42" s="649" t="s">
        <v>545</v>
      </c>
      <c r="F42" s="649"/>
      <c r="G42" s="649"/>
      <c r="H42" s="649"/>
      <c r="I42" s="229">
        <f>[2]Calculations!P25*[2]Calculations!O93</f>
        <v>316.8</v>
      </c>
      <c r="J42" s="230" t="s">
        <v>541</v>
      </c>
    </row>
    <row r="43" spans="1:11" ht="15.75" customHeight="1" x14ac:dyDescent="0.25">
      <c r="A43" s="25" t="s">
        <v>51</v>
      </c>
      <c r="D43" s="215" t="s">
        <v>546</v>
      </c>
      <c r="E43" s="649" t="s">
        <v>547</v>
      </c>
      <c r="F43" s="649"/>
      <c r="G43" s="649"/>
      <c r="H43" s="649"/>
      <c r="I43" s="229">
        <f>[2]Calculations!P26*[2]Calculations!O93</f>
        <v>665.12160000000006</v>
      </c>
      <c r="J43" s="230" t="s">
        <v>541</v>
      </c>
    </row>
    <row r="44" spans="1:11" ht="15.75" customHeight="1" thickBot="1" x14ac:dyDescent="0.3">
      <c r="A44" s="25" t="s">
        <v>52</v>
      </c>
      <c r="D44" s="231"/>
      <c r="E44" s="650"/>
      <c r="F44" s="650"/>
      <c r="G44" s="650"/>
      <c r="H44" s="650"/>
      <c r="I44" s="232"/>
      <c r="J44" s="228"/>
    </row>
    <row r="45" spans="1:11" ht="17.45" customHeight="1" thickBot="1" x14ac:dyDescent="0.3">
      <c r="A45" s="25" t="s">
        <v>53</v>
      </c>
      <c r="D45" s="651" t="s">
        <v>133</v>
      </c>
      <c r="E45" s="652"/>
      <c r="F45" s="652"/>
      <c r="G45" s="652"/>
      <c r="H45" s="653"/>
      <c r="I45" s="233">
        <f>SUM(I37:I44)</f>
        <v>23460.225599999998</v>
      </c>
      <c r="J45" s="234"/>
    </row>
    <row r="46" spans="1:11" ht="16.5" customHeight="1" x14ac:dyDescent="0.25">
      <c r="A46" s="25" t="s">
        <v>54</v>
      </c>
      <c r="D46" s="235"/>
      <c r="E46" s="224"/>
      <c r="F46" s="224"/>
      <c r="G46" s="224"/>
      <c r="H46" s="654"/>
      <c r="I46" s="655"/>
      <c r="J46" s="656"/>
      <c r="K46" s="236"/>
    </row>
    <row r="47" spans="1:11" ht="17.45" customHeight="1" x14ac:dyDescent="0.25">
      <c r="A47" s="25" t="s">
        <v>55</v>
      </c>
      <c r="D47" s="657" t="s">
        <v>510</v>
      </c>
      <c r="E47" s="657"/>
      <c r="F47" s="657"/>
      <c r="G47" s="657"/>
      <c r="H47" s="658"/>
      <c r="I47" s="659"/>
      <c r="J47" s="237" t="s">
        <v>519</v>
      </c>
    </row>
    <row r="48" spans="1:11" ht="15.75" customHeight="1" x14ac:dyDescent="0.25">
      <c r="A48" s="25" t="s">
        <v>56</v>
      </c>
      <c r="D48" s="209" t="s">
        <v>181</v>
      </c>
      <c r="E48" s="660" t="s">
        <v>342</v>
      </c>
      <c r="F48" s="660"/>
      <c r="G48" s="660"/>
      <c r="H48" s="660"/>
      <c r="I48" s="209" t="s">
        <v>534</v>
      </c>
      <c r="J48" s="230"/>
    </row>
    <row r="49" spans="1:10" ht="15.75" customHeight="1" x14ac:dyDescent="0.25">
      <c r="A49" s="25" t="s">
        <v>57</v>
      </c>
      <c r="D49" s="238" t="s">
        <v>548</v>
      </c>
      <c r="E49" s="664"/>
      <c r="F49" s="664"/>
      <c r="G49" s="664"/>
      <c r="H49" s="664"/>
      <c r="I49" s="239">
        <v>1440</v>
      </c>
      <c r="J49" s="230"/>
    </row>
    <row r="50" spans="1:10" ht="15.75" customHeight="1" x14ac:dyDescent="0.25">
      <c r="A50" s="25" t="s">
        <v>58</v>
      </c>
      <c r="D50" s="238" t="s">
        <v>549</v>
      </c>
      <c r="E50" s="664"/>
      <c r="F50" s="664"/>
      <c r="G50" s="664"/>
      <c r="H50" s="664"/>
      <c r="I50" s="239">
        <v>0</v>
      </c>
      <c r="J50" s="230"/>
    </row>
    <row r="51" spans="1:10" ht="15.75" customHeight="1" x14ac:dyDescent="0.25">
      <c r="A51" s="25" t="s">
        <v>59</v>
      </c>
      <c r="D51" s="238" t="s">
        <v>550</v>
      </c>
      <c r="E51" s="664" t="s">
        <v>551</v>
      </c>
      <c r="F51" s="664"/>
      <c r="G51" s="664"/>
      <c r="H51" s="664"/>
      <c r="I51" s="239">
        <v>1440</v>
      </c>
      <c r="J51" s="230"/>
    </row>
    <row r="52" spans="1:10" ht="15.75" customHeight="1" x14ac:dyDescent="0.25">
      <c r="A52" s="25" t="s">
        <v>60</v>
      </c>
      <c r="D52" s="238" t="s">
        <v>552</v>
      </c>
      <c r="E52" s="664" t="s">
        <v>551</v>
      </c>
      <c r="F52" s="664"/>
      <c r="G52" s="664"/>
      <c r="H52" s="664"/>
      <c r="I52" s="239">
        <v>2000</v>
      </c>
      <c r="J52" s="230"/>
    </row>
    <row r="53" spans="1:10" ht="15.75" customHeight="1" x14ac:dyDescent="0.25">
      <c r="A53" s="25" t="s">
        <v>61</v>
      </c>
      <c r="D53" s="238"/>
      <c r="E53" s="664"/>
      <c r="F53" s="664"/>
      <c r="G53" s="664"/>
      <c r="H53" s="664"/>
      <c r="I53" s="239"/>
      <c r="J53" s="230"/>
    </row>
    <row r="54" spans="1:10" ht="15.75" customHeight="1" thickBot="1" x14ac:dyDescent="0.3">
      <c r="A54" s="25" t="s">
        <v>62</v>
      </c>
      <c r="D54" s="238"/>
      <c r="E54" s="664"/>
      <c r="F54" s="664"/>
      <c r="G54" s="664"/>
      <c r="H54" s="664"/>
      <c r="I54" s="239"/>
      <c r="J54" s="230"/>
    </row>
    <row r="55" spans="1:10" ht="15.75" customHeight="1" thickBot="1" x14ac:dyDescent="0.3">
      <c r="A55" s="25" t="s">
        <v>63</v>
      </c>
      <c r="D55" s="651" t="s">
        <v>133</v>
      </c>
      <c r="E55" s="652"/>
      <c r="F55" s="652"/>
      <c r="G55" s="652"/>
      <c r="H55" s="653"/>
      <c r="I55" s="233">
        <f>SUM(I49:I54)</f>
        <v>4880</v>
      </c>
      <c r="J55" s="240"/>
    </row>
    <row r="56" spans="1:10" ht="15.75" customHeight="1" x14ac:dyDescent="0.25">
      <c r="A56" s="25" t="s">
        <v>64</v>
      </c>
      <c r="D56" s="165"/>
      <c r="E56" s="165"/>
      <c r="F56" s="165"/>
      <c r="G56" s="165"/>
      <c r="H56" s="165"/>
      <c r="I56" s="199"/>
      <c r="J56" s="241"/>
    </row>
    <row r="57" spans="1:10" ht="15.75" customHeight="1" x14ac:dyDescent="0.25">
      <c r="A57" s="25" t="s">
        <v>65</v>
      </c>
      <c r="D57" s="657" t="s">
        <v>139</v>
      </c>
      <c r="E57" s="657"/>
      <c r="F57" s="657"/>
      <c r="G57" s="657"/>
      <c r="H57" s="658"/>
      <c r="I57" s="659"/>
      <c r="J57" s="237" t="s">
        <v>519</v>
      </c>
    </row>
    <row r="58" spans="1:10" ht="15.75" customHeight="1" x14ac:dyDescent="0.25">
      <c r="A58" s="25" t="s">
        <v>66</v>
      </c>
      <c r="D58" s="209" t="s">
        <v>181</v>
      </c>
      <c r="E58" s="660" t="s">
        <v>342</v>
      </c>
      <c r="F58" s="660"/>
      <c r="G58" s="660"/>
      <c r="H58" s="660"/>
      <c r="I58" s="209" t="s">
        <v>534</v>
      </c>
      <c r="J58" s="230"/>
    </row>
    <row r="59" spans="1:10" ht="15.75" customHeight="1" thickBot="1" x14ac:dyDescent="0.3">
      <c r="A59" s="25" t="s">
        <v>67</v>
      </c>
      <c r="D59" s="209" t="s">
        <v>553</v>
      </c>
      <c r="E59" s="660"/>
      <c r="F59" s="660"/>
      <c r="G59" s="660"/>
      <c r="H59" s="660"/>
      <c r="I59" s="209"/>
      <c r="J59" s="230"/>
    </row>
    <row r="60" spans="1:10" ht="15.75" hidden="1" customHeight="1" x14ac:dyDescent="0.25">
      <c r="A60" s="25" t="s">
        <v>68</v>
      </c>
      <c r="D60" s="238"/>
      <c r="E60" s="660"/>
      <c r="F60" s="660"/>
      <c r="G60" s="660"/>
      <c r="H60" s="660"/>
      <c r="I60" s="242"/>
      <c r="J60" s="243"/>
    </row>
    <row r="61" spans="1:10" ht="15.75" hidden="1" customHeight="1" x14ac:dyDescent="0.25">
      <c r="A61" s="25" t="s">
        <v>69</v>
      </c>
      <c r="D61" s="238"/>
      <c r="E61" s="660"/>
      <c r="F61" s="660"/>
      <c r="G61" s="660"/>
      <c r="H61" s="660"/>
      <c r="I61" s="242"/>
      <c r="J61" s="230"/>
    </row>
    <row r="62" spans="1:10" ht="15.75" hidden="1" customHeight="1" x14ac:dyDescent="0.25">
      <c r="A62" s="25" t="s">
        <v>70</v>
      </c>
      <c r="D62" s="238"/>
      <c r="E62" s="660"/>
      <c r="F62" s="660"/>
      <c r="G62" s="660"/>
      <c r="H62" s="660"/>
      <c r="I62" s="242"/>
      <c r="J62" s="230"/>
    </row>
    <row r="63" spans="1:10" ht="15.75" customHeight="1" thickBot="1" x14ac:dyDescent="0.3">
      <c r="A63" s="25" t="s">
        <v>71</v>
      </c>
      <c r="D63" s="665" t="s">
        <v>133</v>
      </c>
      <c r="E63" s="666"/>
      <c r="F63" s="666"/>
      <c r="G63" s="666"/>
      <c r="H63" s="667"/>
      <c r="I63" s="233">
        <f>SUM(I59:I62)</f>
        <v>0</v>
      </c>
      <c r="J63" s="223"/>
    </row>
    <row r="64" spans="1:10" ht="15.75" customHeight="1" x14ac:dyDescent="0.25">
      <c r="A64" s="25" t="s">
        <v>72</v>
      </c>
      <c r="D64" s="165"/>
      <c r="E64" s="165"/>
      <c r="F64" s="165"/>
      <c r="G64" s="165"/>
      <c r="H64" s="165"/>
      <c r="I64" s="199"/>
      <c r="J64" s="241"/>
    </row>
    <row r="65" spans="1:10" ht="15.75" customHeight="1" x14ac:dyDescent="0.25">
      <c r="A65" s="25" t="s">
        <v>73</v>
      </c>
      <c r="D65" s="657" t="s">
        <v>554</v>
      </c>
      <c r="E65" s="657"/>
      <c r="F65" s="657"/>
      <c r="G65" s="657"/>
      <c r="H65" s="658"/>
      <c r="I65" s="659"/>
      <c r="J65" s="237" t="s">
        <v>519</v>
      </c>
    </row>
    <row r="66" spans="1:10" ht="15.75" customHeight="1" x14ac:dyDescent="0.25">
      <c r="A66" s="25" t="s">
        <v>74</v>
      </c>
      <c r="D66" s="209" t="s">
        <v>555</v>
      </c>
      <c r="E66" s="660" t="s">
        <v>342</v>
      </c>
      <c r="F66" s="660"/>
      <c r="G66" s="660"/>
      <c r="H66" s="660"/>
      <c r="I66" s="209" t="s">
        <v>534</v>
      </c>
      <c r="J66" s="230"/>
    </row>
    <row r="67" spans="1:10" ht="15.75" customHeight="1" x14ac:dyDescent="0.25">
      <c r="A67" s="25" t="s">
        <v>75</v>
      </c>
      <c r="D67" s="238" t="s">
        <v>556</v>
      </c>
      <c r="E67" s="664" t="s">
        <v>557</v>
      </c>
      <c r="F67" s="664"/>
      <c r="G67" s="664"/>
      <c r="H67" s="664"/>
      <c r="I67" s="239">
        <f>(127+152.1+51.75+51.75)/2</f>
        <v>191.3</v>
      </c>
      <c r="J67" s="230" t="s">
        <v>558</v>
      </c>
    </row>
    <row r="68" spans="1:10" ht="15.75" customHeight="1" x14ac:dyDescent="0.25">
      <c r="A68" s="25" t="s">
        <v>76</v>
      </c>
      <c r="D68" s="238" t="s">
        <v>559</v>
      </c>
      <c r="E68" s="664" t="s">
        <v>557</v>
      </c>
      <c r="F68" s="664"/>
      <c r="G68" s="664"/>
      <c r="H68" s="664"/>
      <c r="I68" s="239">
        <f>(127+152.1+51.75+51.75)/2</f>
        <v>191.3</v>
      </c>
      <c r="J68" s="230" t="s">
        <v>558</v>
      </c>
    </row>
    <row r="69" spans="1:10" ht="15.75" customHeight="1" x14ac:dyDescent="0.25">
      <c r="A69" s="25" t="s">
        <v>77</v>
      </c>
      <c r="D69" s="238" t="s">
        <v>560</v>
      </c>
      <c r="E69" s="664" t="s">
        <v>561</v>
      </c>
      <c r="F69" s="664"/>
      <c r="G69" s="664"/>
      <c r="H69" s="664"/>
      <c r="I69" s="244">
        <f>(127+152.1+51.75+51.75+69+69+69)/2</f>
        <v>294.8</v>
      </c>
      <c r="J69" s="230" t="s">
        <v>562</v>
      </c>
    </row>
    <row r="70" spans="1:10" ht="15.75" customHeight="1" x14ac:dyDescent="0.25">
      <c r="A70" s="25" t="s">
        <v>78</v>
      </c>
      <c r="D70" s="238" t="s">
        <v>563</v>
      </c>
      <c r="E70" s="664" t="s">
        <v>557</v>
      </c>
      <c r="F70" s="664"/>
      <c r="G70" s="664"/>
      <c r="H70" s="664"/>
      <c r="I70" s="239">
        <f t="shared" ref="I70:I71" si="5">(127+152.1+51.75+51.75)/2</f>
        <v>191.3</v>
      </c>
      <c r="J70" s="230" t="s">
        <v>558</v>
      </c>
    </row>
    <row r="71" spans="1:10" ht="15.75" customHeight="1" thickBot="1" x14ac:dyDescent="0.3">
      <c r="A71" s="25" t="s">
        <v>79</v>
      </c>
      <c r="D71" s="238" t="s">
        <v>564</v>
      </c>
      <c r="E71" s="664" t="s">
        <v>557</v>
      </c>
      <c r="F71" s="664"/>
      <c r="G71" s="664"/>
      <c r="H71" s="664"/>
      <c r="I71" s="239">
        <f t="shared" si="5"/>
        <v>191.3</v>
      </c>
      <c r="J71" s="230" t="s">
        <v>558</v>
      </c>
    </row>
    <row r="72" spans="1:10" ht="15.75" customHeight="1" thickBot="1" x14ac:dyDescent="0.3">
      <c r="A72" s="25" t="s">
        <v>123</v>
      </c>
      <c r="D72" s="665" t="s">
        <v>133</v>
      </c>
      <c r="E72" s="666"/>
      <c r="F72" s="666"/>
      <c r="G72" s="666"/>
      <c r="H72" s="667"/>
      <c r="I72" s="233">
        <f>SUM(I67:I71)</f>
        <v>1060</v>
      </c>
      <c r="J72" s="223"/>
    </row>
    <row r="73" spans="1:10" ht="15.75" customHeight="1" x14ac:dyDescent="0.25">
      <c r="A73" s="25" t="s">
        <v>81</v>
      </c>
      <c r="D73" s="165"/>
      <c r="E73" s="165"/>
      <c r="F73" s="165"/>
      <c r="G73" s="165"/>
      <c r="H73" s="165"/>
      <c r="I73" s="199"/>
      <c r="J73" s="241"/>
    </row>
    <row r="74" spans="1:10" ht="15.75" customHeight="1" x14ac:dyDescent="0.25">
      <c r="A74" s="25" t="s">
        <v>82</v>
      </c>
      <c r="D74" s="657" t="s">
        <v>250</v>
      </c>
      <c r="E74" s="657"/>
      <c r="F74" s="657"/>
      <c r="G74" s="657"/>
      <c r="H74" s="658"/>
      <c r="I74" s="659"/>
      <c r="J74" s="237" t="s">
        <v>519</v>
      </c>
    </row>
    <row r="75" spans="1:10" ht="15.75" customHeight="1" x14ac:dyDescent="0.25">
      <c r="A75" s="25" t="s">
        <v>124</v>
      </c>
      <c r="D75" s="209" t="s">
        <v>181</v>
      </c>
      <c r="E75" s="660" t="s">
        <v>342</v>
      </c>
      <c r="F75" s="660"/>
      <c r="G75" s="660"/>
      <c r="H75" s="660"/>
      <c r="I75" s="209" t="s">
        <v>534</v>
      </c>
      <c r="J75" s="230"/>
    </row>
    <row r="76" spans="1:10" ht="15.75" customHeight="1" x14ac:dyDescent="0.25">
      <c r="A76" s="25" t="s">
        <v>125</v>
      </c>
      <c r="D76" s="238" t="s">
        <v>565</v>
      </c>
      <c r="E76" s="664" t="s">
        <v>566</v>
      </c>
      <c r="F76" s="664"/>
      <c r="G76" s="664"/>
      <c r="H76" s="664"/>
      <c r="I76" s="239">
        <f>[2]Calculations!P27*[2]Calculations!O93</f>
        <v>2663.3904000000002</v>
      </c>
      <c r="J76" s="230" t="s">
        <v>541</v>
      </c>
    </row>
    <row r="77" spans="1:10" ht="15.75" customHeight="1" x14ac:dyDescent="0.25">
      <c r="A77" s="25" t="s">
        <v>83</v>
      </c>
      <c r="D77" s="238" t="s">
        <v>567</v>
      </c>
      <c r="E77" s="664" t="s">
        <v>568</v>
      </c>
      <c r="F77" s="664"/>
      <c r="G77" s="664"/>
      <c r="H77" s="664"/>
      <c r="I77" s="239">
        <f>[2]Calculations!P28*[2]Calculations!O93</f>
        <v>628.21440000000007</v>
      </c>
      <c r="J77" s="230" t="s">
        <v>541</v>
      </c>
    </row>
    <row r="78" spans="1:10" ht="15.75" customHeight="1" x14ac:dyDescent="0.25">
      <c r="A78" s="25" t="s">
        <v>84</v>
      </c>
      <c r="D78" s="238" t="s">
        <v>569</v>
      </c>
      <c r="E78" s="664" t="s">
        <v>570</v>
      </c>
      <c r="F78" s="664"/>
      <c r="G78" s="664"/>
      <c r="H78" s="664"/>
      <c r="I78" s="239">
        <f>[2]Calculations!P29*[2]Calculations!O93</f>
        <v>35.534400000000005</v>
      </c>
      <c r="J78" s="230" t="s">
        <v>541</v>
      </c>
    </row>
    <row r="79" spans="1:10" ht="15.75" customHeight="1" x14ac:dyDescent="0.25">
      <c r="A79" s="25" t="s">
        <v>85</v>
      </c>
      <c r="D79" s="238" t="s">
        <v>571</v>
      </c>
      <c r="E79" s="664"/>
      <c r="F79" s="664"/>
      <c r="G79" s="664"/>
      <c r="H79" s="664"/>
      <c r="I79" s="239">
        <f>[2]Calculations!P30*[2]Calculations!O93</f>
        <v>263.20800000000003</v>
      </c>
      <c r="J79" s="230" t="s">
        <v>541</v>
      </c>
    </row>
    <row r="80" spans="1:10" ht="15.75" customHeight="1" thickBot="1" x14ac:dyDescent="0.3">
      <c r="A80" s="25" t="s">
        <v>86</v>
      </c>
      <c r="D80" s="238" t="s">
        <v>572</v>
      </c>
      <c r="E80" s="664" t="s">
        <v>573</v>
      </c>
      <c r="F80" s="664"/>
      <c r="G80" s="664"/>
      <c r="H80" s="664"/>
      <c r="I80" s="239">
        <f>[2]Calculations!P31*[2]Calculations!O93</f>
        <v>132</v>
      </c>
      <c r="J80" s="230" t="s">
        <v>541</v>
      </c>
    </row>
    <row r="81" spans="1:12" ht="15.75" customHeight="1" thickBot="1" x14ac:dyDescent="0.3">
      <c r="A81" s="25" t="s">
        <v>87</v>
      </c>
      <c r="D81" s="665" t="s">
        <v>133</v>
      </c>
      <c r="E81" s="666"/>
      <c r="F81" s="666"/>
      <c r="G81" s="666"/>
      <c r="H81" s="667"/>
      <c r="I81" s="233">
        <f>SUM(I76:I80)</f>
        <v>3722.3472000000002</v>
      </c>
      <c r="J81" s="223"/>
    </row>
    <row r="82" spans="1:12" ht="15.75" customHeight="1" x14ac:dyDescent="0.25">
      <c r="A82" s="25" t="s">
        <v>88</v>
      </c>
      <c r="D82" s="165"/>
      <c r="E82" s="165"/>
      <c r="F82" s="165"/>
      <c r="G82" s="165"/>
      <c r="H82" s="165"/>
      <c r="I82" s="199"/>
      <c r="J82" s="241"/>
    </row>
    <row r="83" spans="1:12" ht="15.75" thickBot="1" x14ac:dyDescent="0.3">
      <c r="A83" s="25" t="s">
        <v>89</v>
      </c>
    </row>
    <row r="84" spans="1:12" ht="16.5" customHeight="1" thickBot="1" x14ac:dyDescent="0.3">
      <c r="A84" s="25" t="s">
        <v>90</v>
      </c>
      <c r="D84" s="668" t="s">
        <v>516</v>
      </c>
      <c r="E84" s="669"/>
      <c r="F84" s="245" t="s">
        <v>513</v>
      </c>
      <c r="G84" s="200"/>
      <c r="H84" s="200"/>
      <c r="I84" s="200"/>
      <c r="J84" s="204"/>
      <c r="K84" s="205"/>
      <c r="L84" s="205"/>
    </row>
    <row r="85" spans="1:12" ht="16.5" customHeight="1" thickBot="1" x14ac:dyDescent="0.3">
      <c r="A85" s="25" t="s">
        <v>91</v>
      </c>
      <c r="D85" s="633" t="s">
        <v>574</v>
      </c>
      <c r="E85" s="634"/>
      <c r="F85" s="206">
        <f>75000*1.02</f>
        <v>76500</v>
      </c>
      <c r="G85" s="207"/>
      <c r="H85" s="207"/>
      <c r="I85" s="207"/>
      <c r="J85" s="204"/>
      <c r="K85" s="205"/>
      <c r="L85" s="205"/>
    </row>
    <row r="86" spans="1:12" ht="16.5" customHeight="1" x14ac:dyDescent="0.25">
      <c r="A86" s="25" t="s">
        <v>92</v>
      </c>
      <c r="D86" s="670" t="s">
        <v>518</v>
      </c>
      <c r="E86" s="670"/>
      <c r="F86" s="670"/>
      <c r="G86" s="670"/>
      <c r="H86" s="671"/>
      <c r="I86" s="671"/>
      <c r="J86" s="246" t="s">
        <v>519</v>
      </c>
    </row>
    <row r="87" spans="1:12" s="214" customFormat="1" ht="38.25" x14ac:dyDescent="0.25">
      <c r="A87" s="25" t="s">
        <v>93</v>
      </c>
      <c r="B87" s="23"/>
      <c r="C87" s="23"/>
      <c r="D87" s="209" t="s">
        <v>520</v>
      </c>
      <c r="E87" s="209" t="s">
        <v>521</v>
      </c>
      <c r="F87" s="209" t="s">
        <v>522</v>
      </c>
      <c r="G87" s="209" t="s">
        <v>523</v>
      </c>
      <c r="H87" s="210" t="s">
        <v>524</v>
      </c>
      <c r="I87" s="210" t="s">
        <v>525</v>
      </c>
      <c r="J87" s="211" t="s">
        <v>496</v>
      </c>
      <c r="K87" s="212" t="s">
        <v>496</v>
      </c>
    </row>
    <row r="88" spans="1:12" x14ac:dyDescent="0.25">
      <c r="A88" s="25" t="s">
        <v>94</v>
      </c>
      <c r="D88" s="215" t="str">
        <f>[2]Sheet1!B4</f>
        <v>President &amp; CEO, MaryClare Clark, MSW</v>
      </c>
      <c r="E88" s="216">
        <f>'[2]Salary Distribution'!T4</f>
        <v>92000</v>
      </c>
      <c r="F88" s="216">
        <f>E88*0.1935</f>
        <v>17802</v>
      </c>
      <c r="G88" s="217">
        <f>'[2]Salary Distribution'!K4</f>
        <v>0</v>
      </c>
      <c r="H88" s="216">
        <f>E88*G88</f>
        <v>0</v>
      </c>
      <c r="I88" s="216">
        <f>F88*G88</f>
        <v>0</v>
      </c>
      <c r="J88" s="220" t="s">
        <v>575</v>
      </c>
    </row>
    <row r="89" spans="1:12" x14ac:dyDescent="0.25">
      <c r="A89" s="25" t="s">
        <v>95</v>
      </c>
      <c r="D89" s="215" t="str">
        <f>[2]Sheet1!B5</f>
        <v>Prevention Specialist, Amanda Clemmer</v>
      </c>
      <c r="E89" s="216">
        <f>'[2]Salary Distribution'!T5</f>
        <v>40000</v>
      </c>
      <c r="F89" s="216">
        <f t="shared" ref="F89:F96" si="6">E89*0.1935</f>
        <v>7740</v>
      </c>
      <c r="G89" s="217">
        <f>'[2]Salary Distribution'!K5</f>
        <v>0.1</v>
      </c>
      <c r="H89" s="216">
        <f t="shared" ref="H89:H96" si="7">E89*G89</f>
        <v>4000</v>
      </c>
      <c r="I89" s="216">
        <f t="shared" ref="I89:I96" si="8">F89*G89</f>
        <v>774</v>
      </c>
      <c r="J89" s="219" t="s">
        <v>527</v>
      </c>
    </row>
    <row r="90" spans="1:12" x14ac:dyDescent="0.25">
      <c r="A90" s="25" t="s">
        <v>96</v>
      </c>
      <c r="D90" s="215" t="str">
        <f>[2]Sheet1!B6</f>
        <v>Emily DelGrosso, N/A this grant</v>
      </c>
      <c r="E90" s="216">
        <f>'[2]Salary Distribution'!T6</f>
        <v>37080</v>
      </c>
      <c r="F90" s="216">
        <f t="shared" si="6"/>
        <v>7174.9800000000005</v>
      </c>
      <c r="G90" s="217">
        <f>'[2]Salary Distribution'!K6</f>
        <v>0</v>
      </c>
      <c r="H90" s="216">
        <f t="shared" si="7"/>
        <v>0</v>
      </c>
      <c r="I90" s="216">
        <f t="shared" si="8"/>
        <v>0</v>
      </c>
      <c r="J90" s="219" t="s">
        <v>576</v>
      </c>
    </row>
    <row r="91" spans="1:12" x14ac:dyDescent="0.25">
      <c r="A91" s="25" t="s">
        <v>97</v>
      </c>
      <c r="D91" s="215" t="str">
        <f>[2]Sheet1!B7</f>
        <v>Prevention Specialist, Aisha Diss</v>
      </c>
      <c r="E91" s="216">
        <f>'[2]Salary Distribution'!T7</f>
        <v>0</v>
      </c>
      <c r="F91" s="216">
        <f t="shared" si="6"/>
        <v>0</v>
      </c>
      <c r="G91" s="217">
        <f>'[2]Salary Distribution'!K7</f>
        <v>0</v>
      </c>
      <c r="H91" s="216">
        <f t="shared" si="7"/>
        <v>0</v>
      </c>
      <c r="I91" s="216">
        <f t="shared" si="8"/>
        <v>0</v>
      </c>
      <c r="J91" s="218" t="s">
        <v>526</v>
      </c>
    </row>
    <row r="92" spans="1:12" x14ac:dyDescent="0.25">
      <c r="A92" s="25" t="s">
        <v>98</v>
      </c>
      <c r="D92" s="215" t="str">
        <f>[2]Sheet1!B8</f>
        <v>Director of Programs, Monique Johnson</v>
      </c>
      <c r="E92" s="216">
        <f>'[2]Salary Distribution'!T8</f>
        <v>50000</v>
      </c>
      <c r="F92" s="216">
        <f t="shared" si="6"/>
        <v>9675</v>
      </c>
      <c r="G92" s="217">
        <f>'[2]Salary Distribution'!K8</f>
        <v>0</v>
      </c>
      <c r="H92" s="216">
        <f t="shared" si="7"/>
        <v>0</v>
      </c>
      <c r="I92" s="216">
        <f t="shared" si="8"/>
        <v>0</v>
      </c>
      <c r="J92" s="219" t="s">
        <v>528</v>
      </c>
    </row>
    <row r="93" spans="1:12" x14ac:dyDescent="0.25">
      <c r="A93" s="25" t="s">
        <v>99</v>
      </c>
      <c r="D93" s="215" t="str">
        <f>[2]Sheet1!B9</f>
        <v>Director of Projects, Tanya McKinney</v>
      </c>
      <c r="E93" s="216">
        <f>'[2]Salary Distribution'!T9</f>
        <v>50000</v>
      </c>
      <c r="F93" s="216">
        <f t="shared" si="6"/>
        <v>9675</v>
      </c>
      <c r="G93" s="217">
        <f>'[2]Salary Distribution'!K9</f>
        <v>0.05</v>
      </c>
      <c r="H93" s="216">
        <f t="shared" si="7"/>
        <v>2500</v>
      </c>
      <c r="I93" s="216">
        <f t="shared" si="8"/>
        <v>483.75</v>
      </c>
      <c r="J93" s="220" t="s">
        <v>529</v>
      </c>
    </row>
    <row r="94" spans="1:12" x14ac:dyDescent="0.25">
      <c r="A94" s="25" t="s">
        <v>100</v>
      </c>
      <c r="D94" s="215" t="str">
        <f>[2]Sheet1!B10</f>
        <v>Population Specialist, Miss Doris Thomas</v>
      </c>
      <c r="E94" s="216">
        <f>'[2]Salary Distribution'!T10</f>
        <v>11700</v>
      </c>
      <c r="F94" s="216">
        <f t="shared" si="6"/>
        <v>2263.9500000000003</v>
      </c>
      <c r="G94" s="217">
        <f>'[2]Salary Distribution'!K10</f>
        <v>0</v>
      </c>
      <c r="H94" s="216">
        <f t="shared" si="7"/>
        <v>0</v>
      </c>
      <c r="I94" s="216">
        <f t="shared" si="8"/>
        <v>0</v>
      </c>
      <c r="J94" s="220" t="s">
        <v>530</v>
      </c>
    </row>
    <row r="95" spans="1:12" x14ac:dyDescent="0.25">
      <c r="A95" s="25" t="s">
        <v>102</v>
      </c>
      <c r="D95" s="215" t="str">
        <f>[2]Sheet1!B11</f>
        <v>Finance Manager, Bill Rondeau</v>
      </c>
      <c r="E95" s="216">
        <f>'[2]Salary Distribution'!T11</f>
        <v>58240</v>
      </c>
      <c r="F95" s="216">
        <f t="shared" si="6"/>
        <v>11269.44</v>
      </c>
      <c r="G95" s="217">
        <f>'[2]Salary Distribution'!K11</f>
        <v>0</v>
      </c>
      <c r="H95" s="216">
        <f t="shared" si="7"/>
        <v>0</v>
      </c>
      <c r="I95" s="216">
        <f t="shared" si="8"/>
        <v>0</v>
      </c>
      <c r="J95" s="220" t="s">
        <v>577</v>
      </c>
    </row>
    <row r="96" spans="1:12" x14ac:dyDescent="0.25">
      <c r="A96" s="25" t="s">
        <v>103</v>
      </c>
      <c r="D96" s="215" t="str">
        <f>[2]Sheet1!B12</f>
        <v>Training Coordinator, Jen Norris-Hale</v>
      </c>
      <c r="E96" s="216">
        <f>'[2]Salary Distribution'!T14</f>
        <v>0</v>
      </c>
      <c r="F96" s="216">
        <f t="shared" si="6"/>
        <v>0</v>
      </c>
      <c r="G96" s="217">
        <f>'[2]Salary Distribution'!K12</f>
        <v>0</v>
      </c>
      <c r="H96" s="216">
        <f t="shared" si="7"/>
        <v>0</v>
      </c>
      <c r="I96" s="216">
        <f t="shared" si="8"/>
        <v>0</v>
      </c>
      <c r="J96" s="221" t="s">
        <v>526</v>
      </c>
    </row>
    <row r="97" spans="1:11" ht="16.5" customHeight="1" x14ac:dyDescent="0.25">
      <c r="A97" s="25" t="s">
        <v>104</v>
      </c>
      <c r="D97" s="637" t="s">
        <v>133</v>
      </c>
      <c r="E97" s="637"/>
      <c r="F97" s="637"/>
      <c r="G97" s="637"/>
      <c r="H97" s="222">
        <f>SUM(H88:H96)</f>
        <v>6500</v>
      </c>
      <c r="I97" s="222">
        <f>SUM(I88:I96)</f>
        <v>1257.75</v>
      </c>
      <c r="J97" s="223"/>
    </row>
    <row r="98" spans="1:11" ht="16.5" customHeight="1" x14ac:dyDescent="0.25">
      <c r="A98" s="25" t="s">
        <v>105</v>
      </c>
      <c r="D98" s="224"/>
      <c r="E98" s="224"/>
      <c r="F98" s="224"/>
      <c r="G98" s="224"/>
      <c r="H98" s="226"/>
      <c r="I98" s="226"/>
      <c r="J98" s="226"/>
      <c r="K98" s="227"/>
    </row>
    <row r="99" spans="1:11" ht="16.5" customHeight="1" x14ac:dyDescent="0.25">
      <c r="A99" s="25" t="s">
        <v>106</v>
      </c>
      <c r="D99" s="672" t="s">
        <v>531</v>
      </c>
      <c r="E99" s="672"/>
      <c r="F99" s="672"/>
      <c r="G99" s="672"/>
      <c r="H99" s="673"/>
      <c r="I99" s="673"/>
      <c r="J99" s="246" t="s">
        <v>519</v>
      </c>
    </row>
    <row r="100" spans="1:11" x14ac:dyDescent="0.25">
      <c r="A100" s="25" t="s">
        <v>107</v>
      </c>
      <c r="D100" s="209" t="s">
        <v>532</v>
      </c>
      <c r="E100" s="660" t="s">
        <v>533</v>
      </c>
      <c r="F100" s="660"/>
      <c r="G100" s="660"/>
      <c r="H100" s="660"/>
      <c r="I100" s="209" t="s">
        <v>534</v>
      </c>
      <c r="J100" s="228"/>
    </row>
    <row r="101" spans="1:11" ht="30" customHeight="1" x14ac:dyDescent="0.25">
      <c r="A101" s="25" t="s">
        <v>108</v>
      </c>
      <c r="D101" s="215" t="s">
        <v>537</v>
      </c>
      <c r="E101" s="649" t="s">
        <v>539</v>
      </c>
      <c r="F101" s="649"/>
      <c r="G101" s="649"/>
      <c r="H101" s="649"/>
      <c r="I101" s="229">
        <v>12000</v>
      </c>
      <c r="J101" s="230" t="s">
        <v>578</v>
      </c>
    </row>
    <row r="102" spans="1:11" ht="15.75" customHeight="1" x14ac:dyDescent="0.25">
      <c r="A102" s="25" t="s">
        <v>109</v>
      </c>
      <c r="D102" s="215" t="s">
        <v>200</v>
      </c>
      <c r="E102" s="649" t="s">
        <v>540</v>
      </c>
      <c r="F102" s="649"/>
      <c r="G102" s="649"/>
      <c r="H102" s="649"/>
      <c r="I102" s="229">
        <f>[2]Calculations!P23*[2]Calculations!P93</f>
        <v>396.26400000000001</v>
      </c>
      <c r="J102" s="230" t="s">
        <v>579</v>
      </c>
    </row>
    <row r="103" spans="1:11" ht="15.75" customHeight="1" x14ac:dyDescent="0.25">
      <c r="A103" s="25" t="s">
        <v>110</v>
      </c>
      <c r="D103" s="231" t="s">
        <v>542</v>
      </c>
      <c r="E103" s="649" t="s">
        <v>543</v>
      </c>
      <c r="F103" s="649"/>
      <c r="G103" s="649"/>
      <c r="H103" s="649"/>
      <c r="I103" s="229">
        <f>[2]Calculations!P24*[2]Calculations!P93</f>
        <v>623.04000000000008</v>
      </c>
      <c r="J103" s="230" t="s">
        <v>579</v>
      </c>
    </row>
    <row r="104" spans="1:11" ht="15.75" customHeight="1" x14ac:dyDescent="0.25">
      <c r="A104" s="25" t="s">
        <v>111</v>
      </c>
      <c r="D104" s="215" t="s">
        <v>544</v>
      </c>
      <c r="E104" s="649" t="s">
        <v>545</v>
      </c>
      <c r="F104" s="649"/>
      <c r="G104" s="649"/>
      <c r="H104" s="649"/>
      <c r="I104" s="229">
        <f>[2]Calculations!P25*[2]Calculations!P93</f>
        <v>316.8</v>
      </c>
      <c r="J104" s="230" t="s">
        <v>579</v>
      </c>
    </row>
    <row r="105" spans="1:11" ht="15.75" customHeight="1" thickBot="1" x14ac:dyDescent="0.3">
      <c r="A105" s="25" t="s">
        <v>112</v>
      </c>
      <c r="D105" s="215" t="s">
        <v>546</v>
      </c>
      <c r="E105" s="649" t="s">
        <v>547</v>
      </c>
      <c r="F105" s="649"/>
      <c r="G105" s="649"/>
      <c r="H105" s="649"/>
      <c r="I105" s="229">
        <f>[2]Calculations!P26*[2]Calculations!P93</f>
        <v>665.12160000000006</v>
      </c>
      <c r="J105" s="230" t="s">
        <v>579</v>
      </c>
    </row>
    <row r="106" spans="1:11" ht="17.45" customHeight="1" thickBot="1" x14ac:dyDescent="0.3">
      <c r="A106" s="25" t="s">
        <v>113</v>
      </c>
      <c r="D106" s="651" t="s">
        <v>133</v>
      </c>
      <c r="E106" s="652"/>
      <c r="F106" s="652"/>
      <c r="G106" s="652"/>
      <c r="H106" s="653"/>
      <c r="I106" s="233">
        <f>SUM(I101:I105)</f>
        <v>14001.2256</v>
      </c>
      <c r="J106" s="234"/>
    </row>
    <row r="107" spans="1:11" ht="16.5" customHeight="1" x14ac:dyDescent="0.25">
      <c r="A107" s="25" t="s">
        <v>114</v>
      </c>
      <c r="D107" s="235"/>
      <c r="E107" s="224"/>
      <c r="F107" s="224"/>
      <c r="G107" s="224"/>
      <c r="H107" s="654"/>
      <c r="I107" s="655"/>
      <c r="J107" s="656"/>
      <c r="K107" s="236"/>
    </row>
    <row r="108" spans="1:11" ht="17.45" customHeight="1" x14ac:dyDescent="0.25">
      <c r="A108" s="25" t="s">
        <v>115</v>
      </c>
      <c r="D108" s="675" t="s">
        <v>510</v>
      </c>
      <c r="E108" s="675"/>
      <c r="F108" s="675"/>
      <c r="G108" s="675"/>
      <c r="H108" s="676"/>
      <c r="I108" s="677"/>
      <c r="J108" s="247" t="s">
        <v>519</v>
      </c>
    </row>
    <row r="109" spans="1:11" ht="15.75" customHeight="1" x14ac:dyDescent="0.25">
      <c r="A109" s="25" t="s">
        <v>126</v>
      </c>
      <c r="D109" s="209" t="s">
        <v>181</v>
      </c>
      <c r="E109" s="660" t="s">
        <v>342</v>
      </c>
      <c r="F109" s="660"/>
      <c r="G109" s="660"/>
      <c r="H109" s="660"/>
      <c r="I109" s="209" t="s">
        <v>534</v>
      </c>
      <c r="J109" s="230"/>
    </row>
    <row r="110" spans="1:11" ht="15.75" hidden="1" customHeight="1" x14ac:dyDescent="0.25">
      <c r="A110" s="25" t="s">
        <v>127</v>
      </c>
      <c r="D110" s="209"/>
      <c r="E110" s="660"/>
      <c r="F110" s="660"/>
      <c r="G110" s="660"/>
      <c r="H110" s="660"/>
      <c r="I110" s="209"/>
      <c r="J110" s="230"/>
    </row>
    <row r="111" spans="1:11" ht="15.75" hidden="1" customHeight="1" x14ac:dyDescent="0.25">
      <c r="A111" s="25" t="s">
        <v>128</v>
      </c>
      <c r="D111" s="209"/>
      <c r="E111" s="660"/>
      <c r="F111" s="660"/>
      <c r="G111" s="660"/>
      <c r="H111" s="660"/>
      <c r="I111" s="248"/>
      <c r="J111" s="230"/>
    </row>
    <row r="112" spans="1:11" ht="15.75" hidden="1" customHeight="1" x14ac:dyDescent="0.25">
      <c r="A112" s="25" t="s">
        <v>129</v>
      </c>
      <c r="D112" s="249"/>
      <c r="E112" s="660"/>
      <c r="F112" s="660"/>
      <c r="G112" s="660"/>
      <c r="H112" s="660"/>
      <c r="I112" s="242"/>
      <c r="J112" s="230"/>
    </row>
    <row r="113" spans="1:10" ht="15.75" hidden="1" customHeight="1" x14ac:dyDescent="0.25">
      <c r="A113" s="25" t="s">
        <v>130</v>
      </c>
      <c r="D113" s="238"/>
      <c r="E113" s="660"/>
      <c r="F113" s="660"/>
      <c r="G113" s="660"/>
      <c r="H113" s="660"/>
      <c r="I113" s="242"/>
      <c r="J113" s="230"/>
    </row>
    <row r="114" spans="1:10" ht="15.75" customHeight="1" thickBot="1" x14ac:dyDescent="0.3">
      <c r="A114" s="25" t="s">
        <v>131</v>
      </c>
      <c r="D114" s="250"/>
      <c r="E114" s="674"/>
      <c r="F114" s="674"/>
      <c r="G114" s="674"/>
      <c r="H114" s="674"/>
      <c r="I114" s="251"/>
      <c r="J114" s="230"/>
    </row>
    <row r="115" spans="1:10" ht="15.75" customHeight="1" thickBot="1" x14ac:dyDescent="0.3">
      <c r="A115" s="25" t="s">
        <v>132</v>
      </c>
      <c r="D115" s="651" t="s">
        <v>133</v>
      </c>
      <c r="E115" s="652"/>
      <c r="F115" s="652"/>
      <c r="G115" s="652"/>
      <c r="H115" s="653"/>
      <c r="I115" s="233">
        <f>SUM(I110:I114)</f>
        <v>0</v>
      </c>
      <c r="J115" s="240"/>
    </row>
    <row r="116" spans="1:10" ht="15.75" customHeight="1" x14ac:dyDescent="0.25">
      <c r="A116" s="25" t="s">
        <v>116</v>
      </c>
      <c r="D116" s="165"/>
      <c r="E116" s="165"/>
      <c r="F116" s="165"/>
      <c r="G116" s="165"/>
      <c r="H116" s="165"/>
      <c r="I116" s="199"/>
      <c r="J116" s="241"/>
    </row>
    <row r="117" spans="1:10" ht="15.75" customHeight="1" x14ac:dyDescent="0.25">
      <c r="A117" s="25" t="s">
        <v>117</v>
      </c>
      <c r="D117" s="675" t="s">
        <v>139</v>
      </c>
      <c r="E117" s="675"/>
      <c r="F117" s="675"/>
      <c r="G117" s="675"/>
      <c r="H117" s="676"/>
      <c r="I117" s="677"/>
      <c r="J117" s="247" t="s">
        <v>519</v>
      </c>
    </row>
    <row r="118" spans="1:10" ht="15.75" customHeight="1" x14ac:dyDescent="0.25">
      <c r="A118" s="25" t="s">
        <v>118</v>
      </c>
      <c r="D118" s="209" t="s">
        <v>181</v>
      </c>
      <c r="E118" s="660" t="s">
        <v>342</v>
      </c>
      <c r="F118" s="660"/>
      <c r="G118" s="660"/>
      <c r="H118" s="660"/>
      <c r="I118" s="209" t="s">
        <v>534</v>
      </c>
      <c r="J118" s="230"/>
    </row>
    <row r="119" spans="1:10" ht="15.75" customHeight="1" thickBot="1" x14ac:dyDescent="0.3">
      <c r="A119" s="25"/>
      <c r="D119" s="209" t="s">
        <v>553</v>
      </c>
      <c r="E119" s="660"/>
      <c r="F119" s="660"/>
      <c r="G119" s="660"/>
      <c r="H119" s="660"/>
      <c r="I119" s="209"/>
      <c r="J119" s="230"/>
    </row>
    <row r="120" spans="1:10" ht="15.75" hidden="1" customHeight="1" x14ac:dyDescent="0.25">
      <c r="D120" s="238"/>
      <c r="E120" s="660"/>
      <c r="F120" s="660"/>
      <c r="G120" s="660"/>
      <c r="H120" s="660"/>
      <c r="I120" s="242"/>
      <c r="J120" s="243"/>
    </row>
    <row r="121" spans="1:10" ht="15.75" hidden="1" customHeight="1" x14ac:dyDescent="0.25">
      <c r="D121" s="238"/>
      <c r="E121" s="660"/>
      <c r="F121" s="660"/>
      <c r="G121" s="660"/>
      <c r="H121" s="660"/>
      <c r="I121" s="242"/>
      <c r="J121" s="230"/>
    </row>
    <row r="122" spans="1:10" ht="15.75" hidden="1" customHeight="1" x14ac:dyDescent="0.25">
      <c r="D122" s="238"/>
      <c r="E122" s="660"/>
      <c r="F122" s="660"/>
      <c r="G122" s="660"/>
      <c r="H122" s="660"/>
      <c r="I122" s="242"/>
      <c r="J122" s="230"/>
    </row>
    <row r="123" spans="1:10" ht="15.75" customHeight="1" thickBot="1" x14ac:dyDescent="0.3">
      <c r="D123" s="665" t="s">
        <v>133</v>
      </c>
      <c r="E123" s="666"/>
      <c r="F123" s="666"/>
      <c r="G123" s="666"/>
      <c r="H123" s="667"/>
      <c r="I123" s="233">
        <f>SUM(I119:I122)</f>
        <v>0</v>
      </c>
      <c r="J123" s="223"/>
    </row>
    <row r="124" spans="1:10" ht="15.75" customHeight="1" x14ac:dyDescent="0.25">
      <c r="D124" s="165"/>
      <c r="E124" s="165"/>
      <c r="F124" s="165"/>
      <c r="G124" s="165"/>
      <c r="H124" s="165"/>
      <c r="I124" s="199"/>
      <c r="J124" s="241"/>
    </row>
    <row r="125" spans="1:10" ht="15.75" customHeight="1" x14ac:dyDescent="0.25">
      <c r="D125" s="675" t="s">
        <v>554</v>
      </c>
      <c r="E125" s="675"/>
      <c r="F125" s="675"/>
      <c r="G125" s="675"/>
      <c r="H125" s="676"/>
      <c r="I125" s="677"/>
      <c r="J125" s="247" t="s">
        <v>519</v>
      </c>
    </row>
    <row r="126" spans="1:10" ht="15.75" customHeight="1" x14ac:dyDescent="0.25">
      <c r="D126" s="209" t="s">
        <v>555</v>
      </c>
      <c r="E126" s="660" t="s">
        <v>342</v>
      </c>
      <c r="F126" s="660"/>
      <c r="G126" s="660"/>
      <c r="H126" s="660"/>
      <c r="I126" s="209" t="s">
        <v>534</v>
      </c>
      <c r="J126" s="230"/>
    </row>
    <row r="127" spans="1:10" ht="15.75" customHeight="1" x14ac:dyDescent="0.25">
      <c r="D127" s="238" t="s">
        <v>556</v>
      </c>
      <c r="E127" s="664" t="s">
        <v>557</v>
      </c>
      <c r="F127" s="664"/>
      <c r="G127" s="664"/>
      <c r="H127" s="664"/>
      <c r="I127" s="269">
        <f>(127+152.1+51.75+51.75)/2</f>
        <v>191.3</v>
      </c>
      <c r="J127" s="230" t="s">
        <v>558</v>
      </c>
    </row>
    <row r="128" spans="1:10" ht="15.75" customHeight="1" x14ac:dyDescent="0.25">
      <c r="D128" s="238" t="s">
        <v>559</v>
      </c>
      <c r="E128" s="664" t="s">
        <v>557</v>
      </c>
      <c r="F128" s="664"/>
      <c r="G128" s="664"/>
      <c r="H128" s="664"/>
      <c r="I128" s="269">
        <f>(127+152.1+51.75+51.75)/2</f>
        <v>191.3</v>
      </c>
      <c r="J128" s="230" t="s">
        <v>558</v>
      </c>
    </row>
    <row r="129" spans="4:10" ht="15.75" customHeight="1" x14ac:dyDescent="0.25">
      <c r="D129" s="238" t="s">
        <v>560</v>
      </c>
      <c r="E129" s="664" t="s">
        <v>561</v>
      </c>
      <c r="F129" s="664"/>
      <c r="G129" s="664"/>
      <c r="H129" s="664"/>
      <c r="I129" s="270">
        <f>(127+152.1+51.75+51.75+69+69+69)/2</f>
        <v>294.8</v>
      </c>
      <c r="J129" s="230" t="s">
        <v>562</v>
      </c>
    </row>
    <row r="130" spans="4:10" ht="15.75" customHeight="1" x14ac:dyDescent="0.25">
      <c r="D130" s="238" t="s">
        <v>563</v>
      </c>
      <c r="E130" s="664" t="s">
        <v>557</v>
      </c>
      <c r="F130" s="664"/>
      <c r="G130" s="664"/>
      <c r="H130" s="664"/>
      <c r="I130" s="269">
        <f>(127+152.1+51.75+51.75)/2</f>
        <v>191.3</v>
      </c>
      <c r="J130" s="230" t="s">
        <v>558</v>
      </c>
    </row>
    <row r="131" spans="4:10" ht="15.75" customHeight="1" thickBot="1" x14ac:dyDescent="0.3">
      <c r="D131" s="238" t="s">
        <v>564</v>
      </c>
      <c r="E131" s="664" t="s">
        <v>557</v>
      </c>
      <c r="F131" s="664"/>
      <c r="G131" s="664"/>
      <c r="H131" s="664"/>
      <c r="I131" s="269">
        <f>(127+152.1+51.75+51.75)/2</f>
        <v>191.3</v>
      </c>
      <c r="J131" s="230" t="s">
        <v>558</v>
      </c>
    </row>
    <row r="132" spans="4:10" ht="15.75" customHeight="1" thickBot="1" x14ac:dyDescent="0.3">
      <c r="D132" s="665" t="s">
        <v>133</v>
      </c>
      <c r="E132" s="666"/>
      <c r="F132" s="666"/>
      <c r="G132" s="666"/>
      <c r="H132" s="678"/>
      <c r="I132" s="233">
        <f>SUM(I127:I131)</f>
        <v>1060</v>
      </c>
      <c r="J132" s="223"/>
    </row>
    <row r="133" spans="4:10" ht="15.75" customHeight="1" x14ac:dyDescent="0.25">
      <c r="D133" s="165"/>
      <c r="E133" s="165"/>
      <c r="F133" s="165"/>
      <c r="G133" s="165"/>
      <c r="H133" s="165"/>
      <c r="I133" s="199"/>
      <c r="J133" s="241"/>
    </row>
    <row r="134" spans="4:10" ht="15.75" customHeight="1" x14ac:dyDescent="0.25">
      <c r="D134" s="675" t="s">
        <v>250</v>
      </c>
      <c r="E134" s="675"/>
      <c r="F134" s="675"/>
      <c r="G134" s="675"/>
      <c r="H134" s="676"/>
      <c r="I134" s="677"/>
      <c r="J134" s="247" t="s">
        <v>519</v>
      </c>
    </row>
    <row r="135" spans="4:10" ht="15.75" customHeight="1" x14ac:dyDescent="0.25">
      <c r="D135" s="209" t="s">
        <v>181</v>
      </c>
      <c r="E135" s="660" t="s">
        <v>342</v>
      </c>
      <c r="F135" s="660"/>
      <c r="G135" s="660"/>
      <c r="H135" s="660"/>
      <c r="I135" s="209" t="s">
        <v>534</v>
      </c>
      <c r="J135" s="230"/>
    </row>
    <row r="136" spans="4:10" ht="15.75" customHeight="1" x14ac:dyDescent="0.25">
      <c r="D136" s="238" t="s">
        <v>565</v>
      </c>
      <c r="E136" s="664" t="s">
        <v>566</v>
      </c>
      <c r="F136" s="664"/>
      <c r="G136" s="664"/>
      <c r="H136" s="664"/>
      <c r="I136" s="269">
        <f>[2]Calculations!P27*[2]Calculations!P93</f>
        <v>2663.3904000000002</v>
      </c>
      <c r="J136" s="230" t="s">
        <v>579</v>
      </c>
    </row>
    <row r="137" spans="4:10" ht="15.75" customHeight="1" x14ac:dyDescent="0.25">
      <c r="D137" s="238" t="s">
        <v>567</v>
      </c>
      <c r="E137" s="664" t="s">
        <v>568</v>
      </c>
      <c r="F137" s="664"/>
      <c r="G137" s="664"/>
      <c r="H137" s="664"/>
      <c r="I137" s="269">
        <f>[2]Calculations!P28*[2]Calculations!P93</f>
        <v>628.21440000000007</v>
      </c>
      <c r="J137" s="230" t="s">
        <v>579</v>
      </c>
    </row>
    <row r="138" spans="4:10" ht="15.75" customHeight="1" x14ac:dyDescent="0.25">
      <c r="D138" s="238" t="s">
        <v>569</v>
      </c>
      <c r="E138" s="664" t="s">
        <v>570</v>
      </c>
      <c r="F138" s="664"/>
      <c r="G138" s="664"/>
      <c r="H138" s="664"/>
      <c r="I138" s="269">
        <f>[2]Calculations!P29*[2]Calculations!P93</f>
        <v>35.534400000000005</v>
      </c>
      <c r="J138" s="230" t="s">
        <v>579</v>
      </c>
    </row>
    <row r="139" spans="4:10" ht="15.75" customHeight="1" x14ac:dyDescent="0.25">
      <c r="D139" s="238" t="s">
        <v>571</v>
      </c>
      <c r="E139" s="664"/>
      <c r="F139" s="664"/>
      <c r="G139" s="664"/>
      <c r="H139" s="664"/>
      <c r="I139" s="269">
        <f>[2]Calculations!P30*[2]Calculations!P93</f>
        <v>263.20800000000003</v>
      </c>
      <c r="J139" s="230" t="s">
        <v>579</v>
      </c>
    </row>
    <row r="140" spans="4:10" ht="15.75" customHeight="1" thickBot="1" x14ac:dyDescent="0.3">
      <c r="D140" s="238" t="s">
        <v>572</v>
      </c>
      <c r="E140" s="664" t="s">
        <v>573</v>
      </c>
      <c r="F140" s="664"/>
      <c r="G140" s="664"/>
      <c r="H140" s="664"/>
      <c r="I140" s="269">
        <f>[2]Calculations!P31*[2]Calculations!P93</f>
        <v>132</v>
      </c>
      <c r="J140" s="230" t="s">
        <v>579</v>
      </c>
    </row>
    <row r="141" spans="4:10" ht="15.75" customHeight="1" thickBot="1" x14ac:dyDescent="0.3">
      <c r="D141" s="665" t="s">
        <v>133</v>
      </c>
      <c r="E141" s="666"/>
      <c r="F141" s="666"/>
      <c r="G141" s="666"/>
      <c r="H141" s="667"/>
      <c r="I141" s="233">
        <f>SUM(I136:I140)</f>
        <v>3722.3472000000002</v>
      </c>
      <c r="J141" s="223"/>
    </row>
    <row r="144" spans="4:10" ht="15.75" hidden="1" thickBot="1" x14ac:dyDescent="0.3">
      <c r="D144" s="679" t="s">
        <v>516</v>
      </c>
      <c r="E144" s="680"/>
      <c r="F144" s="252" t="s">
        <v>513</v>
      </c>
      <c r="G144" s="200"/>
      <c r="H144" s="200"/>
      <c r="I144" s="200"/>
      <c r="J144" s="204"/>
    </row>
    <row r="145" spans="4:10" ht="15.75" hidden="1" thickBot="1" x14ac:dyDescent="0.3">
      <c r="D145" s="633" t="s">
        <v>580</v>
      </c>
      <c r="E145" s="634"/>
      <c r="F145" s="206">
        <v>1</v>
      </c>
      <c r="G145" s="207"/>
      <c r="H145" s="207"/>
      <c r="I145" s="207"/>
      <c r="J145" s="204"/>
    </row>
    <row r="146" spans="4:10" hidden="1" x14ac:dyDescent="0.25">
      <c r="D146" s="681" t="s">
        <v>518</v>
      </c>
      <c r="E146" s="681"/>
      <c r="F146" s="681"/>
      <c r="G146" s="681"/>
      <c r="H146" s="682"/>
      <c r="I146" s="682"/>
      <c r="J146" s="253" t="s">
        <v>519</v>
      </c>
    </row>
    <row r="147" spans="4:10" ht="38.25" hidden="1" x14ac:dyDescent="0.25">
      <c r="D147" s="209" t="s">
        <v>520</v>
      </c>
      <c r="E147" s="209" t="s">
        <v>521</v>
      </c>
      <c r="F147" s="209" t="s">
        <v>522</v>
      </c>
      <c r="G147" s="209" t="s">
        <v>523</v>
      </c>
      <c r="H147" s="210" t="s">
        <v>524</v>
      </c>
      <c r="I147" s="210" t="s">
        <v>525</v>
      </c>
      <c r="J147" s="211" t="s">
        <v>496</v>
      </c>
    </row>
    <row r="148" spans="4:10" hidden="1" x14ac:dyDescent="0.25">
      <c r="D148" s="215" t="s">
        <v>496</v>
      </c>
      <c r="E148" s="216"/>
      <c r="F148" s="216"/>
      <c r="G148" s="217"/>
      <c r="H148" s="216">
        <f>E148*G148</f>
        <v>0</v>
      </c>
      <c r="I148" s="216">
        <f>F148*G148</f>
        <v>0</v>
      </c>
      <c r="J148" s="220" t="s">
        <v>496</v>
      </c>
    </row>
    <row r="149" spans="4:10" hidden="1" x14ac:dyDescent="0.25">
      <c r="D149" s="215"/>
      <c r="E149" s="216"/>
      <c r="F149" s="216"/>
      <c r="G149" s="217"/>
      <c r="H149" s="216">
        <f t="shared" ref="H149:H152" si="9">E149*G149</f>
        <v>0</v>
      </c>
      <c r="I149" s="216">
        <f t="shared" ref="I149:I152" si="10">F149*G149</f>
        <v>0</v>
      </c>
      <c r="J149" s="219" t="s">
        <v>496</v>
      </c>
    </row>
    <row r="150" spans="4:10" hidden="1" x14ac:dyDescent="0.25">
      <c r="D150" s="254" t="s">
        <v>496</v>
      </c>
      <c r="E150" s="255"/>
      <c r="F150" s="255"/>
      <c r="G150" s="256"/>
      <c r="H150" s="216">
        <f t="shared" si="9"/>
        <v>0</v>
      </c>
      <c r="I150" s="216">
        <f t="shared" si="10"/>
        <v>0</v>
      </c>
      <c r="J150" s="219" t="s">
        <v>496</v>
      </c>
    </row>
    <row r="151" spans="4:10" hidden="1" x14ac:dyDescent="0.25">
      <c r="D151" s="215" t="s">
        <v>496</v>
      </c>
      <c r="E151" s="216"/>
      <c r="F151" s="216"/>
      <c r="G151" s="217"/>
      <c r="H151" s="216">
        <f t="shared" si="9"/>
        <v>0</v>
      </c>
      <c r="I151" s="216">
        <f t="shared" si="10"/>
        <v>0</v>
      </c>
      <c r="J151" s="220" t="s">
        <v>496</v>
      </c>
    </row>
    <row r="152" spans="4:10" hidden="1" x14ac:dyDescent="0.25">
      <c r="D152" s="254"/>
      <c r="E152" s="255"/>
      <c r="F152" s="255"/>
      <c r="G152" s="256"/>
      <c r="H152" s="216">
        <f t="shared" si="9"/>
        <v>0</v>
      </c>
      <c r="I152" s="216">
        <f t="shared" si="10"/>
        <v>0</v>
      </c>
      <c r="J152" s="220" t="s">
        <v>496</v>
      </c>
    </row>
    <row r="153" spans="4:10" hidden="1" x14ac:dyDescent="0.25">
      <c r="D153" s="637" t="s">
        <v>133</v>
      </c>
      <c r="E153" s="637"/>
      <c r="F153" s="637"/>
      <c r="G153" s="637"/>
      <c r="H153" s="222">
        <f>SUM(H148:H152)</f>
        <v>0</v>
      </c>
      <c r="I153" s="222">
        <f>SUM(I148:I152)</f>
        <v>0</v>
      </c>
      <c r="J153" s="223"/>
    </row>
    <row r="154" spans="4:10" hidden="1" x14ac:dyDescent="0.25">
      <c r="D154" s="224"/>
      <c r="E154" s="224"/>
      <c r="F154" s="224"/>
      <c r="G154" s="224"/>
      <c r="H154" s="226"/>
      <c r="I154" s="226"/>
      <c r="J154" s="226"/>
    </row>
    <row r="155" spans="4:10" hidden="1" x14ac:dyDescent="0.25">
      <c r="D155" s="683" t="s">
        <v>531</v>
      </c>
      <c r="E155" s="683"/>
      <c r="F155" s="683"/>
      <c r="G155" s="683"/>
      <c r="H155" s="684"/>
      <c r="I155" s="684"/>
      <c r="J155" s="253" t="s">
        <v>519</v>
      </c>
    </row>
    <row r="156" spans="4:10" hidden="1" x14ac:dyDescent="0.25">
      <c r="D156" s="209" t="s">
        <v>532</v>
      </c>
      <c r="E156" s="660" t="s">
        <v>533</v>
      </c>
      <c r="F156" s="660"/>
      <c r="G156" s="660"/>
      <c r="H156" s="660"/>
      <c r="I156" s="209" t="s">
        <v>534</v>
      </c>
      <c r="J156" s="228"/>
    </row>
    <row r="157" spans="4:10" hidden="1" x14ac:dyDescent="0.25">
      <c r="D157" s="257"/>
      <c r="E157" s="649"/>
      <c r="F157" s="649"/>
      <c r="G157" s="649"/>
      <c r="H157" s="649"/>
      <c r="I157" s="229"/>
      <c r="J157" s="228"/>
    </row>
    <row r="158" spans="4:10" hidden="1" x14ac:dyDescent="0.25">
      <c r="D158" s="257"/>
      <c r="E158" s="661"/>
      <c r="F158" s="662"/>
      <c r="G158" s="662"/>
      <c r="H158" s="663"/>
      <c r="I158" s="229"/>
      <c r="J158" s="228"/>
    </row>
    <row r="159" spans="4:10" hidden="1" x14ac:dyDescent="0.25">
      <c r="D159" s="257"/>
      <c r="E159" s="649"/>
      <c r="F159" s="649"/>
      <c r="G159" s="649"/>
      <c r="H159" s="649"/>
      <c r="I159" s="229"/>
      <c r="J159" s="258"/>
    </row>
    <row r="160" spans="4:10" hidden="1" x14ac:dyDescent="0.25">
      <c r="D160" s="259"/>
      <c r="E160" s="650"/>
      <c r="F160" s="650"/>
      <c r="G160" s="650"/>
      <c r="H160" s="650"/>
      <c r="I160" s="232"/>
      <c r="J160" s="228"/>
    </row>
    <row r="161" spans="4:10" ht="15.75" hidden="1" thickBot="1" x14ac:dyDescent="0.3">
      <c r="D161" s="651" t="s">
        <v>133</v>
      </c>
      <c r="E161" s="652"/>
      <c r="F161" s="652"/>
      <c r="G161" s="652"/>
      <c r="H161" s="653"/>
      <c r="I161" s="233">
        <f>SUM(I157:I160)</f>
        <v>0</v>
      </c>
      <c r="J161" s="234"/>
    </row>
    <row r="162" spans="4:10" hidden="1" x14ac:dyDescent="0.25">
      <c r="D162" s="235"/>
      <c r="E162" s="224"/>
      <c r="F162" s="224"/>
      <c r="G162" s="224"/>
      <c r="H162" s="654"/>
      <c r="I162" s="655"/>
      <c r="J162" s="656"/>
    </row>
    <row r="163" spans="4:10" hidden="1" x14ac:dyDescent="0.25">
      <c r="D163" s="685" t="s">
        <v>510</v>
      </c>
      <c r="E163" s="685"/>
      <c r="F163" s="685"/>
      <c r="G163" s="685"/>
      <c r="H163" s="686"/>
      <c r="I163" s="687"/>
      <c r="J163" s="260" t="s">
        <v>519</v>
      </c>
    </row>
    <row r="164" spans="4:10" hidden="1" x14ac:dyDescent="0.25">
      <c r="D164" s="209" t="s">
        <v>181</v>
      </c>
      <c r="E164" s="660" t="s">
        <v>342</v>
      </c>
      <c r="F164" s="660"/>
      <c r="G164" s="660"/>
      <c r="H164" s="660"/>
      <c r="I164" s="209" t="s">
        <v>534</v>
      </c>
      <c r="J164" s="230"/>
    </row>
    <row r="165" spans="4:10" hidden="1" x14ac:dyDescent="0.25">
      <c r="D165" s="209"/>
      <c r="E165" s="660"/>
      <c r="F165" s="660"/>
      <c r="G165" s="660"/>
      <c r="H165" s="660"/>
      <c r="I165" s="209"/>
      <c r="J165" s="230"/>
    </row>
    <row r="166" spans="4:10" hidden="1" x14ac:dyDescent="0.25">
      <c r="D166" s="209"/>
      <c r="E166" s="660"/>
      <c r="F166" s="660"/>
      <c r="G166" s="660"/>
      <c r="H166" s="660"/>
      <c r="I166" s="248"/>
      <c r="J166" s="230"/>
    </row>
    <row r="167" spans="4:10" hidden="1" x14ac:dyDescent="0.25">
      <c r="D167" s="249"/>
      <c r="E167" s="660"/>
      <c r="F167" s="660"/>
      <c r="G167" s="660"/>
      <c r="H167" s="660"/>
      <c r="I167" s="242"/>
      <c r="J167" s="230"/>
    </row>
    <row r="168" spans="4:10" hidden="1" x14ac:dyDescent="0.25">
      <c r="D168" s="238"/>
      <c r="E168" s="660"/>
      <c r="F168" s="660"/>
      <c r="G168" s="660"/>
      <c r="H168" s="660"/>
      <c r="I168" s="242"/>
      <c r="J168" s="230"/>
    </row>
    <row r="169" spans="4:10" hidden="1" x14ac:dyDescent="0.25">
      <c r="D169" s="250"/>
      <c r="E169" s="674"/>
      <c r="F169" s="674"/>
      <c r="G169" s="674"/>
      <c r="H169" s="674"/>
      <c r="I169" s="251"/>
      <c r="J169" s="230"/>
    </row>
    <row r="170" spans="4:10" ht="15.75" hidden="1" thickBot="1" x14ac:dyDescent="0.3">
      <c r="D170" s="651" t="s">
        <v>133</v>
      </c>
      <c r="E170" s="652"/>
      <c r="F170" s="652"/>
      <c r="G170" s="652"/>
      <c r="H170" s="653"/>
      <c r="I170" s="233">
        <f>SUM(I165:I169)</f>
        <v>0</v>
      </c>
      <c r="J170" s="240"/>
    </row>
    <row r="171" spans="4:10" hidden="1" x14ac:dyDescent="0.25">
      <c r="D171" s="165"/>
      <c r="E171" s="165"/>
      <c r="F171" s="165"/>
      <c r="G171" s="165"/>
      <c r="H171" s="165"/>
      <c r="I171" s="199"/>
      <c r="J171" s="241"/>
    </row>
    <row r="172" spans="4:10" hidden="1" x14ac:dyDescent="0.25">
      <c r="D172" s="685" t="s">
        <v>139</v>
      </c>
      <c r="E172" s="685"/>
      <c r="F172" s="685"/>
      <c r="G172" s="685"/>
      <c r="H172" s="686"/>
      <c r="I172" s="687"/>
      <c r="J172" s="260" t="s">
        <v>519</v>
      </c>
    </row>
    <row r="173" spans="4:10" hidden="1" x14ac:dyDescent="0.25">
      <c r="D173" s="209" t="s">
        <v>181</v>
      </c>
      <c r="E173" s="660" t="s">
        <v>342</v>
      </c>
      <c r="F173" s="660"/>
      <c r="G173" s="660"/>
      <c r="H173" s="660"/>
      <c r="I173" s="209" t="s">
        <v>534</v>
      </c>
      <c r="J173" s="230"/>
    </row>
    <row r="174" spans="4:10" hidden="1" x14ac:dyDescent="0.25">
      <c r="D174" s="209"/>
      <c r="E174" s="660"/>
      <c r="F174" s="660"/>
      <c r="G174" s="660"/>
      <c r="H174" s="660"/>
      <c r="I174" s="209"/>
      <c r="J174" s="230"/>
    </row>
    <row r="175" spans="4:10" hidden="1" x14ac:dyDescent="0.25">
      <c r="D175" s="238"/>
      <c r="E175" s="660"/>
      <c r="F175" s="660"/>
      <c r="G175" s="660"/>
      <c r="H175" s="660"/>
      <c r="I175" s="242"/>
      <c r="J175" s="243"/>
    </row>
    <row r="176" spans="4:10" hidden="1" x14ac:dyDescent="0.25">
      <c r="D176" s="238"/>
      <c r="E176" s="660"/>
      <c r="F176" s="660"/>
      <c r="G176" s="660"/>
      <c r="H176" s="660"/>
      <c r="I176" s="242"/>
      <c r="J176" s="230"/>
    </row>
    <row r="177" spans="4:10" hidden="1" x14ac:dyDescent="0.25">
      <c r="D177" s="238"/>
      <c r="E177" s="660"/>
      <c r="F177" s="660"/>
      <c r="G177" s="660"/>
      <c r="H177" s="660"/>
      <c r="I177" s="242"/>
      <c r="J177" s="230"/>
    </row>
    <row r="178" spans="4:10" ht="15.75" hidden="1" thickBot="1" x14ac:dyDescent="0.3">
      <c r="D178" s="665" t="s">
        <v>133</v>
      </c>
      <c r="E178" s="666"/>
      <c r="F178" s="666"/>
      <c r="G178" s="666"/>
      <c r="H178" s="667"/>
      <c r="I178" s="233">
        <f>SUM(I174:I177)</f>
        <v>0</v>
      </c>
      <c r="J178" s="223"/>
    </row>
    <row r="179" spans="4:10" hidden="1" x14ac:dyDescent="0.25">
      <c r="D179" s="165"/>
      <c r="E179" s="165"/>
      <c r="F179" s="165"/>
      <c r="G179" s="165"/>
      <c r="H179" s="165"/>
      <c r="I179" s="199"/>
      <c r="J179" s="241"/>
    </row>
    <row r="180" spans="4:10" hidden="1" x14ac:dyDescent="0.25">
      <c r="D180" s="685" t="s">
        <v>554</v>
      </c>
      <c r="E180" s="685"/>
      <c r="F180" s="685"/>
      <c r="G180" s="685"/>
      <c r="H180" s="686"/>
      <c r="I180" s="687"/>
      <c r="J180" s="260" t="s">
        <v>519</v>
      </c>
    </row>
    <row r="181" spans="4:10" hidden="1" x14ac:dyDescent="0.25">
      <c r="D181" s="209" t="s">
        <v>555</v>
      </c>
      <c r="E181" s="660" t="s">
        <v>342</v>
      </c>
      <c r="F181" s="660"/>
      <c r="G181" s="660"/>
      <c r="H181" s="660"/>
      <c r="I181" s="209" t="s">
        <v>534</v>
      </c>
      <c r="J181" s="230"/>
    </row>
    <row r="182" spans="4:10" hidden="1" x14ac:dyDescent="0.25">
      <c r="D182" s="209"/>
      <c r="E182" s="660"/>
      <c r="F182" s="660"/>
      <c r="G182" s="660"/>
      <c r="H182" s="660"/>
      <c r="I182" s="209"/>
      <c r="J182" s="230"/>
    </row>
    <row r="183" spans="4:10" hidden="1" x14ac:dyDescent="0.25">
      <c r="D183" s="238"/>
      <c r="E183" s="660"/>
      <c r="F183" s="660"/>
      <c r="G183" s="660"/>
      <c r="H183" s="660"/>
      <c r="I183" s="242"/>
      <c r="J183" s="243"/>
    </row>
    <row r="184" spans="4:10" hidden="1" x14ac:dyDescent="0.25">
      <c r="D184" s="238"/>
      <c r="E184" s="660"/>
      <c r="F184" s="660"/>
      <c r="G184" s="660"/>
      <c r="H184" s="660"/>
      <c r="I184" s="242"/>
      <c r="J184" s="230"/>
    </row>
    <row r="185" spans="4:10" hidden="1" x14ac:dyDescent="0.25">
      <c r="D185" s="238"/>
      <c r="E185" s="660"/>
      <c r="F185" s="660"/>
      <c r="G185" s="660"/>
      <c r="H185" s="660"/>
      <c r="I185" s="242"/>
      <c r="J185" s="230"/>
    </row>
    <row r="186" spans="4:10" ht="15.75" hidden="1" thickBot="1" x14ac:dyDescent="0.3">
      <c r="D186" s="665" t="s">
        <v>133</v>
      </c>
      <c r="E186" s="666"/>
      <c r="F186" s="666"/>
      <c r="G186" s="666"/>
      <c r="H186" s="667"/>
      <c r="I186" s="233">
        <f>SUM(I182:I185)</f>
        <v>0</v>
      </c>
      <c r="J186" s="223"/>
    </row>
    <row r="187" spans="4:10" hidden="1" x14ac:dyDescent="0.25">
      <c r="D187" s="165"/>
      <c r="E187" s="165"/>
      <c r="F187" s="165"/>
      <c r="G187" s="165"/>
      <c r="H187" s="165"/>
      <c r="I187" s="199"/>
      <c r="J187" s="241"/>
    </row>
    <row r="188" spans="4:10" hidden="1" x14ac:dyDescent="0.25">
      <c r="D188" s="685" t="s">
        <v>250</v>
      </c>
      <c r="E188" s="685"/>
      <c r="F188" s="685"/>
      <c r="G188" s="685"/>
      <c r="H188" s="686"/>
      <c r="I188" s="687"/>
      <c r="J188" s="260" t="s">
        <v>519</v>
      </c>
    </row>
    <row r="189" spans="4:10" hidden="1" x14ac:dyDescent="0.25">
      <c r="D189" s="209" t="s">
        <v>181</v>
      </c>
      <c r="E189" s="660" t="s">
        <v>342</v>
      </c>
      <c r="F189" s="660"/>
      <c r="G189" s="660"/>
      <c r="H189" s="660"/>
      <c r="I189" s="209" t="s">
        <v>534</v>
      </c>
      <c r="J189" s="230"/>
    </row>
    <row r="190" spans="4:10" hidden="1" x14ac:dyDescent="0.25">
      <c r="D190" s="209"/>
      <c r="E190" s="660"/>
      <c r="F190" s="660"/>
      <c r="G190" s="660"/>
      <c r="H190" s="660"/>
      <c r="I190" s="209"/>
      <c r="J190" s="230"/>
    </row>
    <row r="191" spans="4:10" hidden="1" x14ac:dyDescent="0.25">
      <c r="D191" s="238"/>
      <c r="E191" s="660"/>
      <c r="F191" s="660"/>
      <c r="G191" s="660"/>
      <c r="H191" s="660"/>
      <c r="I191" s="242"/>
      <c r="J191" s="243"/>
    </row>
    <row r="192" spans="4:10" hidden="1" x14ac:dyDescent="0.25">
      <c r="D192" s="238"/>
      <c r="E192" s="660"/>
      <c r="F192" s="660"/>
      <c r="G192" s="660"/>
      <c r="H192" s="660"/>
      <c r="I192" s="242"/>
      <c r="J192" s="230"/>
    </row>
    <row r="193" spans="4:10" hidden="1" x14ac:dyDescent="0.25">
      <c r="D193" s="238"/>
      <c r="E193" s="660"/>
      <c r="F193" s="660"/>
      <c r="G193" s="660"/>
      <c r="H193" s="660"/>
      <c r="I193" s="242"/>
      <c r="J193" s="230"/>
    </row>
    <row r="194" spans="4:10" ht="15.75" hidden="1" thickBot="1" x14ac:dyDescent="0.3">
      <c r="D194" s="665" t="s">
        <v>133</v>
      </c>
      <c r="E194" s="666"/>
      <c r="F194" s="666"/>
      <c r="G194" s="666"/>
      <c r="H194" s="667"/>
      <c r="I194" s="233">
        <f>SUM(I190:I193)</f>
        <v>0</v>
      </c>
      <c r="J194" s="223"/>
    </row>
    <row r="195" spans="4:10" hidden="1" x14ac:dyDescent="0.25"/>
    <row r="196" spans="4:10" hidden="1" x14ac:dyDescent="0.25"/>
    <row r="197" spans="4:10" ht="15.75" hidden="1" thickBot="1" x14ac:dyDescent="0.3">
      <c r="D197" s="688" t="s">
        <v>516</v>
      </c>
      <c r="E197" s="689"/>
      <c r="F197" s="262" t="s">
        <v>513</v>
      </c>
      <c r="G197" s="200"/>
      <c r="H197" s="200"/>
      <c r="I197" s="200"/>
      <c r="J197" s="204"/>
    </row>
    <row r="198" spans="4:10" ht="15.75" hidden="1" thickBot="1" x14ac:dyDescent="0.3">
      <c r="D198" s="633" t="s">
        <v>580</v>
      </c>
      <c r="E198" s="634"/>
      <c r="F198" s="206">
        <v>1</v>
      </c>
      <c r="G198" s="207"/>
      <c r="H198" s="207"/>
      <c r="I198" s="207"/>
      <c r="J198" s="204"/>
    </row>
    <row r="199" spans="4:10" hidden="1" x14ac:dyDescent="0.25">
      <c r="D199" s="690" t="s">
        <v>518</v>
      </c>
      <c r="E199" s="690"/>
      <c r="F199" s="690"/>
      <c r="G199" s="690"/>
      <c r="H199" s="691"/>
      <c r="I199" s="691"/>
      <c r="J199" s="263" t="s">
        <v>519</v>
      </c>
    </row>
    <row r="200" spans="4:10" ht="38.25" hidden="1" x14ac:dyDescent="0.25">
      <c r="D200" s="209" t="s">
        <v>520</v>
      </c>
      <c r="E200" s="209" t="s">
        <v>521</v>
      </c>
      <c r="F200" s="209" t="s">
        <v>522</v>
      </c>
      <c r="G200" s="209" t="s">
        <v>523</v>
      </c>
      <c r="H200" s="210" t="s">
        <v>524</v>
      </c>
      <c r="I200" s="210" t="s">
        <v>525</v>
      </c>
      <c r="J200" s="211" t="s">
        <v>496</v>
      </c>
    </row>
    <row r="201" spans="4:10" hidden="1" x14ac:dyDescent="0.25">
      <c r="D201" s="215" t="s">
        <v>496</v>
      </c>
      <c r="E201" s="216"/>
      <c r="F201" s="216"/>
      <c r="G201" s="217"/>
      <c r="H201" s="216">
        <f>E201*G201</f>
        <v>0</v>
      </c>
      <c r="I201" s="216">
        <f>F201*G201</f>
        <v>0</v>
      </c>
      <c r="J201" s="220" t="s">
        <v>496</v>
      </c>
    </row>
    <row r="202" spans="4:10" hidden="1" x14ac:dyDescent="0.25">
      <c r="D202" s="215"/>
      <c r="E202" s="216"/>
      <c r="F202" s="216"/>
      <c r="G202" s="217"/>
      <c r="H202" s="216">
        <f t="shared" ref="H202:H205" si="11">E202*G202</f>
        <v>0</v>
      </c>
      <c r="I202" s="216">
        <f t="shared" ref="I202:I205" si="12">F202*G202</f>
        <v>0</v>
      </c>
      <c r="J202" s="219" t="s">
        <v>496</v>
      </c>
    </row>
    <row r="203" spans="4:10" hidden="1" x14ac:dyDescent="0.25">
      <c r="D203" s="254" t="s">
        <v>496</v>
      </c>
      <c r="E203" s="255"/>
      <c r="F203" s="255"/>
      <c r="G203" s="256"/>
      <c r="H203" s="216">
        <f t="shared" si="11"/>
        <v>0</v>
      </c>
      <c r="I203" s="216">
        <f t="shared" si="12"/>
        <v>0</v>
      </c>
      <c r="J203" s="219" t="s">
        <v>496</v>
      </c>
    </row>
    <row r="204" spans="4:10" hidden="1" x14ac:dyDescent="0.25">
      <c r="D204" s="215" t="s">
        <v>496</v>
      </c>
      <c r="E204" s="216"/>
      <c r="F204" s="216"/>
      <c r="G204" s="217"/>
      <c r="H204" s="216">
        <f t="shared" si="11"/>
        <v>0</v>
      </c>
      <c r="I204" s="216">
        <f t="shared" si="12"/>
        <v>0</v>
      </c>
      <c r="J204" s="220" t="s">
        <v>496</v>
      </c>
    </row>
    <row r="205" spans="4:10" hidden="1" x14ac:dyDescent="0.25">
      <c r="D205" s="254"/>
      <c r="E205" s="255"/>
      <c r="F205" s="255"/>
      <c r="G205" s="256"/>
      <c r="H205" s="216">
        <f t="shared" si="11"/>
        <v>0</v>
      </c>
      <c r="I205" s="216">
        <f t="shared" si="12"/>
        <v>0</v>
      </c>
      <c r="J205" s="220" t="s">
        <v>496</v>
      </c>
    </row>
    <row r="206" spans="4:10" hidden="1" x14ac:dyDescent="0.25">
      <c r="D206" s="637" t="s">
        <v>133</v>
      </c>
      <c r="E206" s="637"/>
      <c r="F206" s="637"/>
      <c r="G206" s="637"/>
      <c r="H206" s="222">
        <f>SUM(H201:H205)</f>
        <v>0</v>
      </c>
      <c r="I206" s="222">
        <f>SUM(I201:I205)</f>
        <v>0</v>
      </c>
      <c r="J206" s="223"/>
    </row>
    <row r="207" spans="4:10" hidden="1" x14ac:dyDescent="0.25">
      <c r="D207" s="224"/>
      <c r="E207" s="224"/>
      <c r="F207" s="224"/>
      <c r="G207" s="224"/>
      <c r="H207" s="226"/>
      <c r="I207" s="226"/>
      <c r="J207" s="226"/>
    </row>
    <row r="208" spans="4:10" hidden="1" x14ac:dyDescent="0.25">
      <c r="D208" s="692" t="s">
        <v>531</v>
      </c>
      <c r="E208" s="692"/>
      <c r="F208" s="692"/>
      <c r="G208" s="692"/>
      <c r="H208" s="693"/>
      <c r="I208" s="693"/>
      <c r="J208" s="263" t="s">
        <v>519</v>
      </c>
    </row>
    <row r="209" spans="4:10" hidden="1" x14ac:dyDescent="0.25">
      <c r="D209" s="209" t="s">
        <v>532</v>
      </c>
      <c r="E209" s="660" t="s">
        <v>533</v>
      </c>
      <c r="F209" s="660"/>
      <c r="G209" s="660"/>
      <c r="H209" s="660"/>
      <c r="I209" s="209" t="s">
        <v>534</v>
      </c>
      <c r="J209" s="228"/>
    </row>
    <row r="210" spans="4:10" hidden="1" x14ac:dyDescent="0.25">
      <c r="D210" s="257"/>
      <c r="E210" s="649"/>
      <c r="F210" s="649"/>
      <c r="G210" s="649"/>
      <c r="H210" s="649"/>
      <c r="I210" s="229"/>
      <c r="J210" s="228"/>
    </row>
    <row r="211" spans="4:10" hidden="1" x14ac:dyDescent="0.25">
      <c r="D211" s="257"/>
      <c r="E211" s="661"/>
      <c r="F211" s="662"/>
      <c r="G211" s="662"/>
      <c r="H211" s="663"/>
      <c r="I211" s="229"/>
      <c r="J211" s="228"/>
    </row>
    <row r="212" spans="4:10" hidden="1" x14ac:dyDescent="0.25">
      <c r="D212" s="257"/>
      <c r="E212" s="649"/>
      <c r="F212" s="649"/>
      <c r="G212" s="649"/>
      <c r="H212" s="649"/>
      <c r="I212" s="229"/>
      <c r="J212" s="258"/>
    </row>
    <row r="213" spans="4:10" hidden="1" x14ac:dyDescent="0.25">
      <c r="D213" s="259"/>
      <c r="E213" s="650"/>
      <c r="F213" s="650"/>
      <c r="G213" s="650"/>
      <c r="H213" s="650"/>
      <c r="I213" s="232"/>
      <c r="J213" s="228"/>
    </row>
    <row r="214" spans="4:10" ht="15.75" hidden="1" thickBot="1" x14ac:dyDescent="0.3">
      <c r="D214" s="651" t="s">
        <v>133</v>
      </c>
      <c r="E214" s="652"/>
      <c r="F214" s="652"/>
      <c r="G214" s="652"/>
      <c r="H214" s="653"/>
      <c r="I214" s="233">
        <f>SUM(I210:I213)</f>
        <v>0</v>
      </c>
      <c r="J214" s="234"/>
    </row>
    <row r="215" spans="4:10" hidden="1" x14ac:dyDescent="0.25">
      <c r="D215" s="235"/>
      <c r="E215" s="224"/>
      <c r="F215" s="224"/>
      <c r="G215" s="224"/>
      <c r="H215" s="654"/>
      <c r="I215" s="655"/>
      <c r="J215" s="656"/>
    </row>
    <row r="216" spans="4:10" hidden="1" x14ac:dyDescent="0.25">
      <c r="D216" s="694" t="s">
        <v>510</v>
      </c>
      <c r="E216" s="694"/>
      <c r="F216" s="694"/>
      <c r="G216" s="694"/>
      <c r="H216" s="695"/>
      <c r="I216" s="696"/>
      <c r="J216" s="264" t="s">
        <v>519</v>
      </c>
    </row>
    <row r="217" spans="4:10" hidden="1" x14ac:dyDescent="0.25">
      <c r="D217" s="209" t="s">
        <v>181</v>
      </c>
      <c r="E217" s="660" t="s">
        <v>342</v>
      </c>
      <c r="F217" s="660"/>
      <c r="G217" s="660"/>
      <c r="H217" s="660"/>
      <c r="I217" s="209" t="s">
        <v>534</v>
      </c>
      <c r="J217" s="230"/>
    </row>
    <row r="218" spans="4:10" hidden="1" x14ac:dyDescent="0.25">
      <c r="D218" s="209"/>
      <c r="E218" s="660"/>
      <c r="F218" s="660"/>
      <c r="G218" s="660"/>
      <c r="H218" s="660"/>
      <c r="I218" s="209"/>
      <c r="J218" s="230"/>
    </row>
    <row r="219" spans="4:10" hidden="1" x14ac:dyDescent="0.25">
      <c r="D219" s="209"/>
      <c r="E219" s="660"/>
      <c r="F219" s="660"/>
      <c r="G219" s="660"/>
      <c r="H219" s="660"/>
      <c r="I219" s="248"/>
      <c r="J219" s="230"/>
    </row>
    <row r="220" spans="4:10" hidden="1" x14ac:dyDescent="0.25">
      <c r="D220" s="249"/>
      <c r="E220" s="660"/>
      <c r="F220" s="660"/>
      <c r="G220" s="660"/>
      <c r="H220" s="660"/>
      <c r="I220" s="242"/>
      <c r="J220" s="230"/>
    </row>
    <row r="221" spans="4:10" hidden="1" x14ac:dyDescent="0.25">
      <c r="D221" s="238"/>
      <c r="E221" s="660"/>
      <c r="F221" s="660"/>
      <c r="G221" s="660"/>
      <c r="H221" s="660"/>
      <c r="I221" s="242"/>
      <c r="J221" s="230"/>
    </row>
    <row r="222" spans="4:10" hidden="1" x14ac:dyDescent="0.25">
      <c r="D222" s="250"/>
      <c r="E222" s="674"/>
      <c r="F222" s="674"/>
      <c r="G222" s="674"/>
      <c r="H222" s="674"/>
      <c r="I222" s="251"/>
      <c r="J222" s="230"/>
    </row>
    <row r="223" spans="4:10" ht="15.75" hidden="1" thickBot="1" x14ac:dyDescent="0.3">
      <c r="D223" s="651" t="s">
        <v>133</v>
      </c>
      <c r="E223" s="652"/>
      <c r="F223" s="652"/>
      <c r="G223" s="652"/>
      <c r="H223" s="653"/>
      <c r="I223" s="233">
        <f>SUM(I218:I222)</f>
        <v>0</v>
      </c>
      <c r="J223" s="240"/>
    </row>
    <row r="224" spans="4:10" hidden="1" x14ac:dyDescent="0.25">
      <c r="D224" s="165"/>
      <c r="E224" s="165"/>
      <c r="F224" s="165"/>
      <c r="G224" s="165"/>
      <c r="H224" s="165"/>
      <c r="I224" s="199"/>
      <c r="J224" s="241"/>
    </row>
    <row r="225" spans="4:10" hidden="1" x14ac:dyDescent="0.25">
      <c r="D225" s="694" t="s">
        <v>139</v>
      </c>
      <c r="E225" s="694"/>
      <c r="F225" s="694"/>
      <c r="G225" s="694"/>
      <c r="H225" s="695"/>
      <c r="I225" s="696"/>
      <c r="J225" s="264" t="s">
        <v>519</v>
      </c>
    </row>
    <row r="226" spans="4:10" hidden="1" x14ac:dyDescent="0.25">
      <c r="D226" s="209" t="s">
        <v>181</v>
      </c>
      <c r="E226" s="660" t="s">
        <v>342</v>
      </c>
      <c r="F226" s="660"/>
      <c r="G226" s="660"/>
      <c r="H226" s="660"/>
      <c r="I226" s="209" t="s">
        <v>534</v>
      </c>
      <c r="J226" s="230"/>
    </row>
    <row r="227" spans="4:10" hidden="1" x14ac:dyDescent="0.25">
      <c r="D227" s="209"/>
      <c r="E227" s="660"/>
      <c r="F227" s="660"/>
      <c r="G227" s="660"/>
      <c r="H227" s="660"/>
      <c r="I227" s="209"/>
      <c r="J227" s="230"/>
    </row>
    <row r="228" spans="4:10" hidden="1" x14ac:dyDescent="0.25">
      <c r="D228" s="238"/>
      <c r="E228" s="660"/>
      <c r="F228" s="660"/>
      <c r="G228" s="660"/>
      <c r="H228" s="660"/>
      <c r="I228" s="242"/>
      <c r="J228" s="243"/>
    </row>
    <row r="229" spans="4:10" hidden="1" x14ac:dyDescent="0.25">
      <c r="D229" s="238"/>
      <c r="E229" s="660"/>
      <c r="F229" s="660"/>
      <c r="G229" s="660"/>
      <c r="H229" s="660"/>
      <c r="I229" s="242"/>
      <c r="J229" s="230"/>
    </row>
    <row r="230" spans="4:10" hidden="1" x14ac:dyDescent="0.25">
      <c r="D230" s="238"/>
      <c r="E230" s="660"/>
      <c r="F230" s="660"/>
      <c r="G230" s="660"/>
      <c r="H230" s="660"/>
      <c r="I230" s="242"/>
      <c r="J230" s="230"/>
    </row>
    <row r="231" spans="4:10" ht="15.75" hidden="1" thickBot="1" x14ac:dyDescent="0.3">
      <c r="D231" s="665" t="s">
        <v>133</v>
      </c>
      <c r="E231" s="666"/>
      <c r="F231" s="666"/>
      <c r="G231" s="666"/>
      <c r="H231" s="667"/>
      <c r="I231" s="233">
        <f>SUM(I227:I230)</f>
        <v>0</v>
      </c>
      <c r="J231" s="223"/>
    </row>
    <row r="232" spans="4:10" hidden="1" x14ac:dyDescent="0.25">
      <c r="D232" s="165"/>
      <c r="E232" s="165"/>
      <c r="F232" s="165"/>
      <c r="G232" s="165"/>
      <c r="H232" s="165"/>
      <c r="I232" s="199"/>
      <c r="J232" s="241"/>
    </row>
    <row r="233" spans="4:10" hidden="1" x14ac:dyDescent="0.25">
      <c r="D233" s="694" t="s">
        <v>554</v>
      </c>
      <c r="E233" s="694"/>
      <c r="F233" s="694"/>
      <c r="G233" s="694"/>
      <c r="H233" s="695"/>
      <c r="I233" s="696"/>
      <c r="J233" s="264" t="s">
        <v>519</v>
      </c>
    </row>
    <row r="234" spans="4:10" hidden="1" x14ac:dyDescent="0.25">
      <c r="D234" s="209" t="s">
        <v>555</v>
      </c>
      <c r="E234" s="660" t="s">
        <v>342</v>
      </c>
      <c r="F234" s="660"/>
      <c r="G234" s="660"/>
      <c r="H234" s="660"/>
      <c r="I234" s="209" t="s">
        <v>534</v>
      </c>
      <c r="J234" s="230"/>
    </row>
    <row r="235" spans="4:10" hidden="1" x14ac:dyDescent="0.25">
      <c r="D235" s="209"/>
      <c r="E235" s="660"/>
      <c r="F235" s="660"/>
      <c r="G235" s="660"/>
      <c r="H235" s="660"/>
      <c r="I235" s="209"/>
      <c r="J235" s="230"/>
    </row>
    <row r="236" spans="4:10" hidden="1" x14ac:dyDescent="0.25">
      <c r="D236" s="238"/>
      <c r="E236" s="660"/>
      <c r="F236" s="660"/>
      <c r="G236" s="660"/>
      <c r="H236" s="660"/>
      <c r="I236" s="242"/>
      <c r="J236" s="243"/>
    </row>
    <row r="237" spans="4:10" hidden="1" x14ac:dyDescent="0.25">
      <c r="D237" s="238"/>
      <c r="E237" s="660"/>
      <c r="F237" s="660"/>
      <c r="G237" s="660"/>
      <c r="H237" s="660"/>
      <c r="I237" s="242"/>
      <c r="J237" s="230"/>
    </row>
    <row r="238" spans="4:10" hidden="1" x14ac:dyDescent="0.25">
      <c r="D238" s="238"/>
      <c r="E238" s="660"/>
      <c r="F238" s="660"/>
      <c r="G238" s="660"/>
      <c r="H238" s="660"/>
      <c r="I238" s="242"/>
      <c r="J238" s="230"/>
    </row>
    <row r="239" spans="4:10" ht="15.75" hidden="1" thickBot="1" x14ac:dyDescent="0.3">
      <c r="D239" s="665" t="s">
        <v>133</v>
      </c>
      <c r="E239" s="666"/>
      <c r="F239" s="666"/>
      <c r="G239" s="666"/>
      <c r="H239" s="667"/>
      <c r="I239" s="233">
        <f>SUM(I235:I238)</f>
        <v>0</v>
      </c>
      <c r="J239" s="223"/>
    </row>
    <row r="240" spans="4:10" hidden="1" x14ac:dyDescent="0.25">
      <c r="D240" s="165"/>
      <c r="E240" s="165"/>
      <c r="F240" s="165"/>
      <c r="G240" s="165"/>
      <c r="H240" s="165"/>
      <c r="I240" s="199"/>
      <c r="J240" s="241"/>
    </row>
    <row r="241" spans="4:10" hidden="1" x14ac:dyDescent="0.25">
      <c r="D241" s="694" t="s">
        <v>250</v>
      </c>
      <c r="E241" s="694"/>
      <c r="F241" s="694"/>
      <c r="G241" s="694"/>
      <c r="H241" s="695"/>
      <c r="I241" s="696"/>
      <c r="J241" s="264" t="s">
        <v>519</v>
      </c>
    </row>
    <row r="242" spans="4:10" hidden="1" x14ac:dyDescent="0.25">
      <c r="D242" s="209" t="s">
        <v>181</v>
      </c>
      <c r="E242" s="660" t="s">
        <v>342</v>
      </c>
      <c r="F242" s="660"/>
      <c r="G242" s="660"/>
      <c r="H242" s="660"/>
      <c r="I242" s="209" t="s">
        <v>534</v>
      </c>
      <c r="J242" s="230"/>
    </row>
    <row r="243" spans="4:10" hidden="1" x14ac:dyDescent="0.25">
      <c r="D243" s="209"/>
      <c r="E243" s="660"/>
      <c r="F243" s="660"/>
      <c r="G243" s="660"/>
      <c r="H243" s="660"/>
      <c r="I243" s="209"/>
      <c r="J243" s="230"/>
    </row>
    <row r="244" spans="4:10" hidden="1" x14ac:dyDescent="0.25">
      <c r="D244" s="238"/>
      <c r="E244" s="660"/>
      <c r="F244" s="660"/>
      <c r="G244" s="660"/>
      <c r="H244" s="660"/>
      <c r="I244" s="242"/>
      <c r="J244" s="243"/>
    </row>
    <row r="245" spans="4:10" hidden="1" x14ac:dyDescent="0.25">
      <c r="D245" s="238"/>
      <c r="E245" s="660"/>
      <c r="F245" s="660"/>
      <c r="G245" s="660"/>
      <c r="H245" s="660"/>
      <c r="I245" s="242"/>
      <c r="J245" s="230"/>
    </row>
    <row r="246" spans="4:10" hidden="1" x14ac:dyDescent="0.25">
      <c r="D246" s="238"/>
      <c r="E246" s="660"/>
      <c r="F246" s="660"/>
      <c r="G246" s="660"/>
      <c r="H246" s="660"/>
      <c r="I246" s="242"/>
      <c r="J246" s="230"/>
    </row>
    <row r="247" spans="4:10" ht="15.75" hidden="1" thickBot="1" x14ac:dyDescent="0.3">
      <c r="D247" s="665" t="s">
        <v>133</v>
      </c>
      <c r="E247" s="666"/>
      <c r="F247" s="666"/>
      <c r="G247" s="666"/>
      <c r="H247" s="667"/>
      <c r="I247" s="233">
        <f>SUM(I243:I246)</f>
        <v>0</v>
      </c>
      <c r="J247" s="223"/>
    </row>
    <row r="248" spans="4:10" ht="3.75" customHeight="1" x14ac:dyDescent="0.25"/>
    <row r="249" spans="4:10" ht="15.75" thickBot="1" x14ac:dyDescent="0.3"/>
    <row r="250" spans="4:10" ht="15.75" thickBot="1" x14ac:dyDescent="0.3">
      <c r="D250" s="697" t="s">
        <v>516</v>
      </c>
      <c r="E250" s="698"/>
      <c r="F250" s="265" t="s">
        <v>513</v>
      </c>
      <c r="G250" s="200"/>
      <c r="H250" s="200"/>
      <c r="I250" s="200"/>
      <c r="J250" s="204"/>
    </row>
    <row r="251" spans="4:10" ht="15.75" thickBot="1" x14ac:dyDescent="0.3">
      <c r="D251" s="633" t="s">
        <v>581</v>
      </c>
      <c r="E251" s="634"/>
      <c r="F251" s="206" t="s">
        <v>515</v>
      </c>
      <c r="G251" s="207"/>
      <c r="H251" s="207"/>
      <c r="I251" s="207"/>
      <c r="J251" s="204"/>
    </row>
    <row r="252" spans="4:10" x14ac:dyDescent="0.25">
      <c r="D252" s="699" t="s">
        <v>518</v>
      </c>
      <c r="E252" s="699"/>
      <c r="F252" s="699"/>
      <c r="G252" s="699"/>
      <c r="H252" s="700"/>
      <c r="I252" s="700"/>
      <c r="J252" s="266" t="s">
        <v>519</v>
      </c>
    </row>
    <row r="253" spans="4:10" ht="38.25" x14ac:dyDescent="0.25">
      <c r="D253" s="209" t="s">
        <v>520</v>
      </c>
      <c r="E253" s="209" t="s">
        <v>521</v>
      </c>
      <c r="F253" s="209" t="s">
        <v>522</v>
      </c>
      <c r="G253" s="209" t="s">
        <v>523</v>
      </c>
      <c r="H253" s="210" t="s">
        <v>524</v>
      </c>
      <c r="I253" s="210" t="s">
        <v>525</v>
      </c>
      <c r="J253" s="211" t="s">
        <v>496</v>
      </c>
    </row>
    <row r="254" spans="4:10" x14ac:dyDescent="0.25">
      <c r="D254" s="215" t="str">
        <f>[2]Sheet1!B4</f>
        <v>President &amp; CEO, MaryClare Clark, MSW</v>
      </c>
      <c r="E254" s="216">
        <f>'[2]Salary Distribution'!T4</f>
        <v>92000</v>
      </c>
      <c r="F254" s="216">
        <f>E254*0.1935</f>
        <v>17802</v>
      </c>
      <c r="G254" s="267">
        <f>'[2]Salary Distribution'!J4</f>
        <v>0.05</v>
      </c>
      <c r="H254" s="216">
        <f>E254*G254</f>
        <v>4600</v>
      </c>
      <c r="I254" s="216">
        <f>F254*G254</f>
        <v>890.1</v>
      </c>
      <c r="J254" s="220" t="s">
        <v>575</v>
      </c>
    </row>
    <row r="255" spans="4:10" x14ac:dyDescent="0.25">
      <c r="D255" s="215" t="str">
        <f>[2]Sheet1!B5</f>
        <v>Prevention Specialist, Amanda Clemmer</v>
      </c>
      <c r="E255" s="216">
        <f>'[2]Salary Distribution'!T5</f>
        <v>40000</v>
      </c>
      <c r="F255" s="216">
        <f t="shared" ref="F255:F262" si="13">E255*0.1935</f>
        <v>7740</v>
      </c>
      <c r="G255" s="267">
        <f>'[2]Salary Distribution'!J5</f>
        <v>0.05</v>
      </c>
      <c r="H255" s="216">
        <f t="shared" ref="H255:H262" si="14">E255*G255</f>
        <v>2000</v>
      </c>
      <c r="I255" s="216">
        <f t="shared" ref="I255:I262" si="15">F255*G255</f>
        <v>387</v>
      </c>
      <c r="J255" s="219" t="s">
        <v>527</v>
      </c>
    </row>
    <row r="256" spans="4:10" x14ac:dyDescent="0.25">
      <c r="D256" s="215" t="str">
        <f>[2]Sheet1!B6</f>
        <v>Emily DelGrosso, N/A this grant</v>
      </c>
      <c r="E256" s="216">
        <f>'[2]Salary Distribution'!T6</f>
        <v>37080</v>
      </c>
      <c r="F256" s="216">
        <f t="shared" si="13"/>
        <v>7174.9800000000005</v>
      </c>
      <c r="G256" s="267">
        <f>'[2]Salary Distribution'!J6</f>
        <v>0.05</v>
      </c>
      <c r="H256" s="216">
        <f t="shared" si="14"/>
        <v>1854</v>
      </c>
      <c r="I256" s="216">
        <f t="shared" si="15"/>
        <v>358.74900000000002</v>
      </c>
      <c r="J256" s="219" t="s">
        <v>576</v>
      </c>
    </row>
    <row r="257" spans="4:10" x14ac:dyDescent="0.25">
      <c r="D257" s="215" t="str">
        <f>[2]Sheet1!B7</f>
        <v>Prevention Specialist, Aisha Diss</v>
      </c>
      <c r="E257" s="216">
        <f>'[2]Salary Distribution'!T7</f>
        <v>0</v>
      </c>
      <c r="F257" s="216">
        <f t="shared" si="13"/>
        <v>0</v>
      </c>
      <c r="G257" s="267">
        <f>'[2]Salary Distribution'!J7</f>
        <v>0</v>
      </c>
      <c r="H257" s="216">
        <f t="shared" si="14"/>
        <v>0</v>
      </c>
      <c r="I257" s="216">
        <f t="shared" si="15"/>
        <v>0</v>
      </c>
      <c r="J257" s="218" t="s">
        <v>526</v>
      </c>
    </row>
    <row r="258" spans="4:10" x14ac:dyDescent="0.25">
      <c r="D258" s="215" t="str">
        <f>[2]Sheet1!B8</f>
        <v>Director of Programs, Monique Johnson</v>
      </c>
      <c r="E258" s="216">
        <f>'[2]Salary Distribution'!T8</f>
        <v>50000</v>
      </c>
      <c r="F258" s="216">
        <f t="shared" si="13"/>
        <v>9675</v>
      </c>
      <c r="G258" s="267">
        <f>'[2]Salary Distribution'!J8</f>
        <v>0.05</v>
      </c>
      <c r="H258" s="216">
        <f t="shared" si="14"/>
        <v>2500</v>
      </c>
      <c r="I258" s="216">
        <f t="shared" si="15"/>
        <v>483.75</v>
      </c>
      <c r="J258" s="219" t="s">
        <v>528</v>
      </c>
    </row>
    <row r="259" spans="4:10" x14ac:dyDescent="0.25">
      <c r="D259" s="215" t="str">
        <f>[2]Sheet1!B9</f>
        <v>Director of Projects, Tanya McKinney</v>
      </c>
      <c r="E259" s="216">
        <f>'[2]Salary Distribution'!T9</f>
        <v>50000</v>
      </c>
      <c r="F259" s="216">
        <f t="shared" si="13"/>
        <v>9675</v>
      </c>
      <c r="G259" s="267">
        <f>'[2]Salary Distribution'!J9</f>
        <v>0.1</v>
      </c>
      <c r="H259" s="216">
        <f t="shared" si="14"/>
        <v>5000</v>
      </c>
      <c r="I259" s="216">
        <f t="shared" si="15"/>
        <v>967.5</v>
      </c>
      <c r="J259" s="220" t="s">
        <v>529</v>
      </c>
    </row>
    <row r="260" spans="4:10" x14ac:dyDescent="0.25">
      <c r="D260" s="215" t="str">
        <f>[2]Sheet1!B10</f>
        <v>Population Specialist, Miss Doris Thomas</v>
      </c>
      <c r="E260" s="216">
        <f>'[2]Salary Distribution'!T10</f>
        <v>11700</v>
      </c>
      <c r="F260" s="216">
        <f t="shared" si="13"/>
        <v>2263.9500000000003</v>
      </c>
      <c r="G260" s="267">
        <f>'[2]Salary Distribution'!J10</f>
        <v>0.5</v>
      </c>
      <c r="H260" s="216">
        <f t="shared" si="14"/>
        <v>5850</v>
      </c>
      <c r="I260" s="216">
        <f t="shared" si="15"/>
        <v>1131.9750000000001</v>
      </c>
      <c r="J260" s="220" t="s">
        <v>530</v>
      </c>
    </row>
    <row r="261" spans="4:10" x14ac:dyDescent="0.25">
      <c r="D261" s="215" t="str">
        <f>[2]Sheet1!B11</f>
        <v>Finance Manager, Bill Rondeau</v>
      </c>
      <c r="E261" s="216">
        <f>'[2]Salary Distribution'!T11</f>
        <v>58240</v>
      </c>
      <c r="F261" s="216">
        <f t="shared" si="13"/>
        <v>11269.44</v>
      </c>
      <c r="G261" s="267">
        <f>'[2]Salary Distribution'!J11</f>
        <v>0.2</v>
      </c>
      <c r="H261" s="216">
        <f t="shared" si="14"/>
        <v>11648</v>
      </c>
      <c r="I261" s="216">
        <f t="shared" si="15"/>
        <v>2253.8880000000004</v>
      </c>
      <c r="J261" s="220" t="s">
        <v>577</v>
      </c>
    </row>
    <row r="262" spans="4:10" x14ac:dyDescent="0.25">
      <c r="D262" s="215" t="str">
        <f>[2]Sheet1!B12</f>
        <v>Training Coordinator, Jen Norris-Hale</v>
      </c>
      <c r="E262" s="216">
        <f>'[2]Salary Distribution'!T14</f>
        <v>0</v>
      </c>
      <c r="F262" s="216">
        <f t="shared" si="13"/>
        <v>0</v>
      </c>
      <c r="G262" s="267">
        <f>'[2]Salary Distribution'!J12</f>
        <v>0</v>
      </c>
      <c r="H262" s="216">
        <f t="shared" si="14"/>
        <v>0</v>
      </c>
      <c r="I262" s="216">
        <f t="shared" si="15"/>
        <v>0</v>
      </c>
      <c r="J262" s="221" t="s">
        <v>526</v>
      </c>
    </row>
    <row r="263" spans="4:10" x14ac:dyDescent="0.25">
      <c r="D263" s="637" t="s">
        <v>133</v>
      </c>
      <c r="E263" s="637"/>
      <c r="F263" s="637"/>
      <c r="G263" s="637"/>
      <c r="H263" s="222">
        <f>SUM(H254:H262)</f>
        <v>33452</v>
      </c>
      <c r="I263" s="222">
        <f>SUM(I254:I262)</f>
        <v>6472.9620000000014</v>
      </c>
      <c r="J263" s="223"/>
    </row>
    <row r="264" spans="4:10" x14ac:dyDescent="0.25">
      <c r="D264" s="224"/>
      <c r="E264" s="224"/>
      <c r="F264" s="224"/>
      <c r="G264" s="224"/>
      <c r="H264" s="226"/>
      <c r="I264" s="226"/>
      <c r="J264" s="226"/>
    </row>
    <row r="265" spans="4:10" x14ac:dyDescent="0.25">
      <c r="D265" s="704" t="s">
        <v>531</v>
      </c>
      <c r="E265" s="704"/>
      <c r="F265" s="704"/>
      <c r="G265" s="704"/>
      <c r="H265" s="705"/>
      <c r="I265" s="705"/>
      <c r="J265" s="266" t="s">
        <v>519</v>
      </c>
    </row>
    <row r="266" spans="4:10" x14ac:dyDescent="0.25">
      <c r="D266" s="209" t="s">
        <v>532</v>
      </c>
      <c r="E266" s="660" t="s">
        <v>533</v>
      </c>
      <c r="F266" s="660"/>
      <c r="G266" s="660"/>
      <c r="H266" s="660"/>
      <c r="I266" s="209" t="s">
        <v>534</v>
      </c>
      <c r="J266" s="228"/>
    </row>
    <row r="267" spans="4:10" ht="30" customHeight="1" x14ac:dyDescent="0.25">
      <c r="D267" s="215" t="s">
        <v>537</v>
      </c>
      <c r="E267" s="649" t="s">
        <v>539</v>
      </c>
      <c r="F267" s="649"/>
      <c r="G267" s="649"/>
      <c r="H267" s="649"/>
      <c r="I267" s="229">
        <v>608</v>
      </c>
      <c r="J267" s="230"/>
    </row>
    <row r="268" spans="4:10" ht="15.75" customHeight="1" x14ac:dyDescent="0.25">
      <c r="D268" s="215" t="s">
        <v>200</v>
      </c>
      <c r="E268" s="649" t="s">
        <v>540</v>
      </c>
      <c r="F268" s="649"/>
      <c r="G268" s="649"/>
      <c r="H268" s="649"/>
      <c r="I268" s="229">
        <f>[2]Calculations!P23*[2]Calculations!Q93</f>
        <v>408.27199999999999</v>
      </c>
      <c r="J268" s="230" t="s">
        <v>582</v>
      </c>
    </row>
    <row r="269" spans="4:10" ht="15.75" customHeight="1" x14ac:dyDescent="0.25">
      <c r="D269" s="231" t="s">
        <v>542</v>
      </c>
      <c r="E269" s="649" t="s">
        <v>543</v>
      </c>
      <c r="F269" s="649"/>
      <c r="G269" s="649"/>
      <c r="H269" s="649"/>
      <c r="I269" s="229">
        <f>[2]Calculations!P24*[2]Calculations!Q93</f>
        <v>641.92000000000007</v>
      </c>
      <c r="J269" s="230" t="s">
        <v>582</v>
      </c>
    </row>
    <row r="270" spans="4:10" ht="15.75" customHeight="1" x14ac:dyDescent="0.25">
      <c r="D270" s="215" t="s">
        <v>544</v>
      </c>
      <c r="E270" s="649" t="s">
        <v>545</v>
      </c>
      <c r="F270" s="649"/>
      <c r="G270" s="649"/>
      <c r="H270" s="649"/>
      <c r="I270" s="229">
        <f>[2]Calculations!P25*[2]Calculations!Q93</f>
        <v>326.40000000000003</v>
      </c>
      <c r="J270" s="230" t="s">
        <v>582</v>
      </c>
    </row>
    <row r="271" spans="4:10" ht="15.75" customHeight="1" thickBot="1" x14ac:dyDescent="0.3">
      <c r="D271" s="215" t="s">
        <v>546</v>
      </c>
      <c r="E271" s="649" t="s">
        <v>547</v>
      </c>
      <c r="F271" s="649"/>
      <c r="G271" s="649"/>
      <c r="H271" s="649"/>
      <c r="I271" s="229">
        <f>[2]Calculations!P26*[2]Calculations!Q93</f>
        <v>685.27680000000009</v>
      </c>
      <c r="J271" s="230" t="s">
        <v>582</v>
      </c>
    </row>
    <row r="272" spans="4:10" ht="15.75" thickBot="1" x14ac:dyDescent="0.3">
      <c r="D272" s="651" t="s">
        <v>133</v>
      </c>
      <c r="E272" s="652"/>
      <c r="F272" s="652"/>
      <c r="G272" s="652"/>
      <c r="H272" s="653"/>
      <c r="I272" s="233">
        <f>SUM(I267:I271)</f>
        <v>2669.8688000000002</v>
      </c>
      <c r="J272" s="234"/>
    </row>
    <row r="273" spans="4:10" x14ac:dyDescent="0.25">
      <c r="D273" s="235"/>
      <c r="E273" s="224"/>
      <c r="F273" s="224"/>
      <c r="G273" s="224"/>
      <c r="H273" s="654"/>
      <c r="I273" s="655"/>
      <c r="J273" s="656"/>
    </row>
    <row r="274" spans="4:10" x14ac:dyDescent="0.25">
      <c r="D274" s="701" t="s">
        <v>510</v>
      </c>
      <c r="E274" s="701"/>
      <c r="F274" s="701"/>
      <c r="G274" s="701"/>
      <c r="H274" s="702"/>
      <c r="I274" s="703"/>
      <c r="J274" s="268" t="s">
        <v>519</v>
      </c>
    </row>
    <row r="275" spans="4:10" x14ac:dyDescent="0.25">
      <c r="D275" s="209" t="s">
        <v>181</v>
      </c>
      <c r="E275" s="660" t="s">
        <v>342</v>
      </c>
      <c r="F275" s="660"/>
      <c r="G275" s="660"/>
      <c r="H275" s="660"/>
      <c r="I275" s="209" t="s">
        <v>534</v>
      </c>
      <c r="J275" s="230"/>
    </row>
    <row r="276" spans="4:10" x14ac:dyDescent="0.25">
      <c r="D276" s="209"/>
      <c r="E276" s="660"/>
      <c r="F276" s="660"/>
      <c r="G276" s="660"/>
      <c r="H276" s="660"/>
      <c r="I276" s="209"/>
      <c r="J276" s="230"/>
    </row>
    <row r="277" spans="4:10" x14ac:dyDescent="0.25">
      <c r="D277" s="209"/>
      <c r="E277" s="660"/>
      <c r="F277" s="660"/>
      <c r="G277" s="660"/>
      <c r="H277" s="660"/>
      <c r="I277" s="248"/>
      <c r="J277" s="230"/>
    </row>
    <row r="278" spans="4:10" x14ac:dyDescent="0.25">
      <c r="D278" s="249"/>
      <c r="E278" s="660"/>
      <c r="F278" s="660"/>
      <c r="G278" s="660"/>
      <c r="H278" s="660"/>
      <c r="I278" s="242"/>
      <c r="J278" s="230"/>
    </row>
    <row r="279" spans="4:10" x14ac:dyDescent="0.25">
      <c r="D279" s="238"/>
      <c r="E279" s="660"/>
      <c r="F279" s="660"/>
      <c r="G279" s="660"/>
      <c r="H279" s="660"/>
      <c r="I279" s="242"/>
      <c r="J279" s="230"/>
    </row>
    <row r="280" spans="4:10" ht="15.75" thickBot="1" x14ac:dyDescent="0.3">
      <c r="D280" s="250"/>
      <c r="E280" s="674"/>
      <c r="F280" s="674"/>
      <c r="G280" s="674"/>
      <c r="H280" s="674"/>
      <c r="I280" s="251"/>
      <c r="J280" s="230"/>
    </row>
    <row r="281" spans="4:10" ht="15.75" thickBot="1" x14ac:dyDescent="0.3">
      <c r="D281" s="651" t="s">
        <v>133</v>
      </c>
      <c r="E281" s="652"/>
      <c r="F281" s="652"/>
      <c r="G281" s="652"/>
      <c r="H281" s="653"/>
      <c r="I281" s="233">
        <f>SUM(I276:I280)</f>
        <v>0</v>
      </c>
      <c r="J281" s="240"/>
    </row>
    <row r="282" spans="4:10" x14ac:dyDescent="0.25">
      <c r="D282" s="165"/>
      <c r="E282" s="165"/>
      <c r="F282" s="165"/>
      <c r="G282" s="165"/>
      <c r="H282" s="165"/>
      <c r="I282" s="199"/>
      <c r="J282" s="241"/>
    </row>
    <row r="283" spans="4:10" x14ac:dyDescent="0.25">
      <c r="D283" s="701" t="s">
        <v>139</v>
      </c>
      <c r="E283" s="701"/>
      <c r="F283" s="701"/>
      <c r="G283" s="701"/>
      <c r="H283" s="702"/>
      <c r="I283" s="703"/>
      <c r="J283" s="268" t="s">
        <v>519</v>
      </c>
    </row>
    <row r="284" spans="4:10" x14ac:dyDescent="0.25">
      <c r="D284" s="209" t="s">
        <v>181</v>
      </c>
      <c r="E284" s="660" t="s">
        <v>342</v>
      </c>
      <c r="F284" s="660"/>
      <c r="G284" s="660"/>
      <c r="H284" s="660"/>
      <c r="I284" s="209" t="s">
        <v>534</v>
      </c>
      <c r="J284" s="230"/>
    </row>
    <row r="285" spans="4:10" ht="15.75" thickBot="1" x14ac:dyDescent="0.3">
      <c r="D285" s="209" t="s">
        <v>553</v>
      </c>
      <c r="E285" s="660"/>
      <c r="F285" s="660"/>
      <c r="G285" s="660"/>
      <c r="H285" s="660"/>
      <c r="I285" s="209"/>
      <c r="J285" s="230"/>
    </row>
    <row r="286" spans="4:10" ht="15.75" hidden="1" thickBot="1" x14ac:dyDescent="0.3">
      <c r="D286" s="238"/>
      <c r="E286" s="660"/>
      <c r="F286" s="660"/>
      <c r="G286" s="660"/>
      <c r="H286" s="660"/>
      <c r="I286" s="242"/>
      <c r="J286" s="243"/>
    </row>
    <row r="287" spans="4:10" ht="15.75" hidden="1" thickBot="1" x14ac:dyDescent="0.3">
      <c r="D287" s="238"/>
      <c r="E287" s="660"/>
      <c r="F287" s="660"/>
      <c r="G287" s="660"/>
      <c r="H287" s="660"/>
      <c r="I287" s="242"/>
      <c r="J287" s="230"/>
    </row>
    <row r="288" spans="4:10" ht="15.75" hidden="1" thickBot="1" x14ac:dyDescent="0.3">
      <c r="D288" s="238"/>
      <c r="E288" s="660"/>
      <c r="F288" s="660"/>
      <c r="G288" s="660"/>
      <c r="H288" s="660"/>
      <c r="I288" s="242"/>
      <c r="J288" s="230"/>
    </row>
    <row r="289" spans="4:10" ht="15.75" thickBot="1" x14ac:dyDescent="0.3">
      <c r="D289" s="665" t="s">
        <v>133</v>
      </c>
      <c r="E289" s="666"/>
      <c r="F289" s="666"/>
      <c r="G289" s="666"/>
      <c r="H289" s="667"/>
      <c r="I289" s="233">
        <f>SUM(I285:I288)</f>
        <v>0</v>
      </c>
      <c r="J289" s="223"/>
    </row>
    <row r="290" spans="4:10" x14ac:dyDescent="0.25">
      <c r="D290" s="165"/>
      <c r="E290" s="165"/>
      <c r="F290" s="165"/>
      <c r="G290" s="165"/>
      <c r="H290" s="165"/>
      <c r="I290" s="199"/>
      <c r="J290" s="241"/>
    </row>
    <row r="291" spans="4:10" x14ac:dyDescent="0.25">
      <c r="D291" s="701" t="s">
        <v>554</v>
      </c>
      <c r="E291" s="701"/>
      <c r="F291" s="701"/>
      <c r="G291" s="701"/>
      <c r="H291" s="702"/>
      <c r="I291" s="703"/>
      <c r="J291" s="268" t="s">
        <v>519</v>
      </c>
    </row>
    <row r="292" spans="4:10" x14ac:dyDescent="0.25">
      <c r="D292" s="209" t="s">
        <v>555</v>
      </c>
      <c r="E292" s="660" t="s">
        <v>342</v>
      </c>
      <c r="F292" s="660"/>
      <c r="G292" s="660"/>
      <c r="H292" s="660"/>
      <c r="I292" s="209" t="s">
        <v>534</v>
      </c>
      <c r="J292" s="230"/>
    </row>
    <row r="293" spans="4:10" ht="15.75" customHeight="1" x14ac:dyDescent="0.25">
      <c r="D293" s="238" t="s">
        <v>583</v>
      </c>
      <c r="E293" s="664" t="s">
        <v>584</v>
      </c>
      <c r="F293" s="664"/>
      <c r="G293" s="664"/>
      <c r="H293" s="664"/>
      <c r="I293" s="269">
        <f>(127.26*2)+(152.1)+(51.75*4)+(200*2)</f>
        <v>1013.62</v>
      </c>
      <c r="J293" s="230" t="s">
        <v>585</v>
      </c>
    </row>
    <row r="294" spans="4:10" ht="33" customHeight="1" x14ac:dyDescent="0.25">
      <c r="D294" s="238" t="s">
        <v>586</v>
      </c>
      <c r="E294" s="664" t="s">
        <v>584</v>
      </c>
      <c r="F294" s="664"/>
      <c r="G294" s="664"/>
      <c r="H294" s="664"/>
      <c r="I294" s="269">
        <f>(127.26*2)+(152.1)+(51.75*4)+(400*2)</f>
        <v>1413.62</v>
      </c>
      <c r="J294" s="230" t="s">
        <v>587</v>
      </c>
    </row>
    <row r="295" spans="4:10" ht="15.75" customHeight="1" x14ac:dyDescent="0.25">
      <c r="D295" s="238"/>
      <c r="E295" s="664"/>
      <c r="F295" s="664"/>
      <c r="G295" s="664"/>
      <c r="H295" s="664"/>
      <c r="I295" s="244"/>
      <c r="J295" s="230"/>
    </row>
    <row r="296" spans="4:10" ht="15.75" customHeight="1" x14ac:dyDescent="0.25">
      <c r="D296" s="238"/>
      <c r="E296" s="664"/>
      <c r="F296" s="664"/>
      <c r="G296" s="664"/>
      <c r="H296" s="664"/>
      <c r="I296" s="239"/>
      <c r="J296" s="230"/>
    </row>
    <row r="297" spans="4:10" ht="15.75" customHeight="1" thickBot="1" x14ac:dyDescent="0.3">
      <c r="D297" s="238"/>
      <c r="E297" s="664"/>
      <c r="F297" s="664"/>
      <c r="G297" s="664"/>
      <c r="H297" s="664"/>
      <c r="I297" s="239"/>
      <c r="J297" s="230"/>
    </row>
    <row r="298" spans="4:10" ht="15.75" thickBot="1" x14ac:dyDescent="0.3">
      <c r="D298" s="665" t="s">
        <v>133</v>
      </c>
      <c r="E298" s="666"/>
      <c r="F298" s="666"/>
      <c r="G298" s="666"/>
      <c r="H298" s="667"/>
      <c r="I298" s="233">
        <f>SUM(I293:I297)</f>
        <v>2427.2399999999998</v>
      </c>
      <c r="J298" s="223"/>
    </row>
    <row r="299" spans="4:10" x14ac:dyDescent="0.25">
      <c r="D299" s="165"/>
      <c r="E299" s="165"/>
      <c r="F299" s="165"/>
      <c r="G299" s="165"/>
      <c r="H299" s="165"/>
      <c r="I299" s="199"/>
      <c r="J299" s="241"/>
    </row>
    <row r="300" spans="4:10" x14ac:dyDescent="0.25">
      <c r="D300" s="701" t="s">
        <v>250</v>
      </c>
      <c r="E300" s="701"/>
      <c r="F300" s="701"/>
      <c r="G300" s="701"/>
      <c r="H300" s="702"/>
      <c r="I300" s="703"/>
      <c r="J300" s="268" t="s">
        <v>519</v>
      </c>
    </row>
    <row r="301" spans="4:10" x14ac:dyDescent="0.25">
      <c r="D301" s="209" t="s">
        <v>181</v>
      </c>
      <c r="E301" s="660" t="s">
        <v>342</v>
      </c>
      <c r="F301" s="660"/>
      <c r="G301" s="660"/>
      <c r="H301" s="660"/>
      <c r="I301" s="209" t="s">
        <v>534</v>
      </c>
      <c r="J301" s="230"/>
    </row>
    <row r="302" spans="4:10" x14ac:dyDescent="0.25">
      <c r="D302" s="238" t="s">
        <v>565</v>
      </c>
      <c r="E302" s="664" t="s">
        <v>566</v>
      </c>
      <c r="F302" s="664"/>
      <c r="G302" s="664"/>
      <c r="H302" s="664"/>
      <c r="I302" s="269">
        <f>[2]Calculations!P27*[2]Calculations!Q93</f>
        <v>2744.0992000000001</v>
      </c>
      <c r="J302" s="230" t="s">
        <v>582</v>
      </c>
    </row>
    <row r="303" spans="4:10" x14ac:dyDescent="0.25">
      <c r="D303" s="238" t="s">
        <v>567</v>
      </c>
      <c r="E303" s="664" t="s">
        <v>862</v>
      </c>
      <c r="F303" s="664"/>
      <c r="G303" s="664"/>
      <c r="H303" s="664"/>
      <c r="I303" s="269">
        <f>[2]Calculations!P28*[2]Calculations!Q93</f>
        <v>647.25120000000004</v>
      </c>
      <c r="J303" s="230" t="s">
        <v>582</v>
      </c>
    </row>
    <row r="304" spans="4:10" x14ac:dyDescent="0.25">
      <c r="D304" s="238" t="s">
        <v>569</v>
      </c>
      <c r="E304" s="664" t="s">
        <v>570</v>
      </c>
      <c r="F304" s="664"/>
      <c r="G304" s="664"/>
      <c r="H304" s="664"/>
      <c r="I304" s="269">
        <f>[2]Calculations!P29*[2]Calculations!Q93</f>
        <v>36.611200000000004</v>
      </c>
      <c r="J304" s="230" t="s">
        <v>582</v>
      </c>
    </row>
    <row r="305" spans="4:10" x14ac:dyDescent="0.25">
      <c r="D305" s="238" t="s">
        <v>571</v>
      </c>
      <c r="E305" s="664"/>
      <c r="F305" s="664"/>
      <c r="G305" s="664"/>
      <c r="H305" s="664"/>
      <c r="I305" s="269">
        <f>[2]Calculations!P30*[2]Calculations!Q93</f>
        <v>271.18400000000003</v>
      </c>
      <c r="J305" s="230" t="s">
        <v>582</v>
      </c>
    </row>
    <row r="306" spans="4:10" x14ac:dyDescent="0.25">
      <c r="D306" s="238" t="s">
        <v>572</v>
      </c>
      <c r="E306" s="664" t="s">
        <v>573</v>
      </c>
      <c r="F306" s="664"/>
      <c r="G306" s="664"/>
      <c r="H306" s="664"/>
      <c r="I306" s="269">
        <f>[2]Calculations!P31*[2]Calculations!Q93</f>
        <v>136</v>
      </c>
      <c r="J306" s="230" t="s">
        <v>582</v>
      </c>
    </row>
    <row r="307" spans="4:10" ht="15.75" thickBot="1" x14ac:dyDescent="0.3">
      <c r="D307" s="238" t="s">
        <v>223</v>
      </c>
      <c r="E307" s="664"/>
      <c r="F307" s="664"/>
      <c r="G307" s="664"/>
      <c r="H307" s="664"/>
      <c r="I307" s="269">
        <f>[2]Calculations!P32</f>
        <v>1142.72</v>
      </c>
      <c r="J307" s="230" t="s">
        <v>588</v>
      </c>
    </row>
    <row r="308" spans="4:10" ht="15.75" thickBot="1" x14ac:dyDescent="0.3">
      <c r="D308" s="665" t="s">
        <v>133</v>
      </c>
      <c r="E308" s="666"/>
      <c r="F308" s="666"/>
      <c r="G308" s="666"/>
      <c r="H308" s="667"/>
      <c r="I308" s="233">
        <f>SUM(I302:I307)</f>
        <v>4977.8656000000001</v>
      </c>
      <c r="J308" s="223"/>
    </row>
  </sheetData>
  <mergeCells count="254">
    <mergeCell ref="E305:H305"/>
    <mergeCell ref="E306:H306"/>
    <mergeCell ref="E307:H307"/>
    <mergeCell ref="D308:H308"/>
    <mergeCell ref="D300:G300"/>
    <mergeCell ref="H300:I300"/>
    <mergeCell ref="E301:H301"/>
    <mergeCell ref="E302:H302"/>
    <mergeCell ref="E303:H303"/>
    <mergeCell ref="E304:H304"/>
    <mergeCell ref="E293:H293"/>
    <mergeCell ref="E294:H294"/>
    <mergeCell ref="E295:H295"/>
    <mergeCell ref="E296:H296"/>
    <mergeCell ref="E297:H297"/>
    <mergeCell ref="D298:H298"/>
    <mergeCell ref="E287:H287"/>
    <mergeCell ref="E288:H288"/>
    <mergeCell ref="D289:H289"/>
    <mergeCell ref="D291:G291"/>
    <mergeCell ref="H291:I291"/>
    <mergeCell ref="E292:H292"/>
    <mergeCell ref="D281:H281"/>
    <mergeCell ref="D283:G283"/>
    <mergeCell ref="H283:I283"/>
    <mergeCell ref="E284:H284"/>
    <mergeCell ref="E285:H285"/>
    <mergeCell ref="E286:H286"/>
    <mergeCell ref="E275:H275"/>
    <mergeCell ref="E276:H276"/>
    <mergeCell ref="E277:H277"/>
    <mergeCell ref="E278:H278"/>
    <mergeCell ref="E279:H279"/>
    <mergeCell ref="E280:H280"/>
    <mergeCell ref="E269:H269"/>
    <mergeCell ref="E270:H270"/>
    <mergeCell ref="E271:H271"/>
    <mergeCell ref="D272:H272"/>
    <mergeCell ref="H273:J273"/>
    <mergeCell ref="D274:G274"/>
    <mergeCell ref="H274:I274"/>
    <mergeCell ref="D263:G263"/>
    <mergeCell ref="D265:G265"/>
    <mergeCell ref="H265:I265"/>
    <mergeCell ref="E266:H266"/>
    <mergeCell ref="E267:H267"/>
    <mergeCell ref="E268:H268"/>
    <mergeCell ref="E246:H246"/>
    <mergeCell ref="D247:H247"/>
    <mergeCell ref="D250:E250"/>
    <mergeCell ref="D251:E251"/>
    <mergeCell ref="D252:G252"/>
    <mergeCell ref="H252:I252"/>
    <mergeCell ref="D241:G241"/>
    <mergeCell ref="H241:I241"/>
    <mergeCell ref="E242:H242"/>
    <mergeCell ref="E243:H243"/>
    <mergeCell ref="E244:H244"/>
    <mergeCell ref="E245:H245"/>
    <mergeCell ref="E234:H234"/>
    <mergeCell ref="E235:H235"/>
    <mergeCell ref="E236:H236"/>
    <mergeCell ref="E237:H237"/>
    <mergeCell ref="E238:H238"/>
    <mergeCell ref="D239:H239"/>
    <mergeCell ref="E227:H227"/>
    <mergeCell ref="E228:H228"/>
    <mergeCell ref="E229:H229"/>
    <mergeCell ref="E230:H230"/>
    <mergeCell ref="D231:H231"/>
    <mergeCell ref="D233:G233"/>
    <mergeCell ref="H233:I233"/>
    <mergeCell ref="E221:H221"/>
    <mergeCell ref="E222:H222"/>
    <mergeCell ref="D223:H223"/>
    <mergeCell ref="D225:G225"/>
    <mergeCell ref="H225:I225"/>
    <mergeCell ref="E226:H226"/>
    <mergeCell ref="D216:G216"/>
    <mergeCell ref="H216:I216"/>
    <mergeCell ref="E217:H217"/>
    <mergeCell ref="E218:H218"/>
    <mergeCell ref="E219:H219"/>
    <mergeCell ref="E220:H220"/>
    <mergeCell ref="E210:H210"/>
    <mergeCell ref="E211:H211"/>
    <mergeCell ref="E212:H212"/>
    <mergeCell ref="E213:H213"/>
    <mergeCell ref="D214:H214"/>
    <mergeCell ref="H215:J215"/>
    <mergeCell ref="D199:G199"/>
    <mergeCell ref="H199:I199"/>
    <mergeCell ref="D206:G206"/>
    <mergeCell ref="D208:G208"/>
    <mergeCell ref="H208:I208"/>
    <mergeCell ref="E209:H209"/>
    <mergeCell ref="E191:H191"/>
    <mergeCell ref="E192:H192"/>
    <mergeCell ref="E193:H193"/>
    <mergeCell ref="D194:H194"/>
    <mergeCell ref="D197:E197"/>
    <mergeCell ref="D198:E198"/>
    <mergeCell ref="E185:H185"/>
    <mergeCell ref="D186:H186"/>
    <mergeCell ref="D188:G188"/>
    <mergeCell ref="H188:I188"/>
    <mergeCell ref="E189:H189"/>
    <mergeCell ref="E190:H190"/>
    <mergeCell ref="D180:G180"/>
    <mergeCell ref="H180:I180"/>
    <mergeCell ref="E181:H181"/>
    <mergeCell ref="E182:H182"/>
    <mergeCell ref="E183:H183"/>
    <mergeCell ref="E184:H184"/>
    <mergeCell ref="E173:H173"/>
    <mergeCell ref="E174:H174"/>
    <mergeCell ref="E175:H175"/>
    <mergeCell ref="E176:H176"/>
    <mergeCell ref="E177:H177"/>
    <mergeCell ref="D178:H178"/>
    <mergeCell ref="E167:H167"/>
    <mergeCell ref="E168:H168"/>
    <mergeCell ref="E169:H169"/>
    <mergeCell ref="D170:H170"/>
    <mergeCell ref="D172:G172"/>
    <mergeCell ref="H172:I172"/>
    <mergeCell ref="H162:J162"/>
    <mergeCell ref="D163:G163"/>
    <mergeCell ref="H163:I163"/>
    <mergeCell ref="E164:H164"/>
    <mergeCell ref="E165:H165"/>
    <mergeCell ref="E166:H166"/>
    <mergeCell ref="E156:H156"/>
    <mergeCell ref="E157:H157"/>
    <mergeCell ref="E158:H158"/>
    <mergeCell ref="E159:H159"/>
    <mergeCell ref="E160:H160"/>
    <mergeCell ref="D161:H161"/>
    <mergeCell ref="D144:E144"/>
    <mergeCell ref="D145:E145"/>
    <mergeCell ref="D146:G146"/>
    <mergeCell ref="H146:I146"/>
    <mergeCell ref="D153:G153"/>
    <mergeCell ref="D155:G155"/>
    <mergeCell ref="H155:I155"/>
    <mergeCell ref="E136:H136"/>
    <mergeCell ref="E137:H137"/>
    <mergeCell ref="E138:H138"/>
    <mergeCell ref="E139:H139"/>
    <mergeCell ref="E140:H140"/>
    <mergeCell ref="D141:H141"/>
    <mergeCell ref="E130:H130"/>
    <mergeCell ref="E131:H131"/>
    <mergeCell ref="D132:H132"/>
    <mergeCell ref="D134:G134"/>
    <mergeCell ref="H134:I134"/>
    <mergeCell ref="E135:H135"/>
    <mergeCell ref="D125:G125"/>
    <mergeCell ref="H125:I125"/>
    <mergeCell ref="E126:H126"/>
    <mergeCell ref="E127:H127"/>
    <mergeCell ref="E128:H128"/>
    <mergeCell ref="E129:H129"/>
    <mergeCell ref="E118:H118"/>
    <mergeCell ref="E119:H119"/>
    <mergeCell ref="E120:H120"/>
    <mergeCell ref="E121:H121"/>
    <mergeCell ref="E122:H122"/>
    <mergeCell ref="D123:H123"/>
    <mergeCell ref="E112:H112"/>
    <mergeCell ref="E113:H113"/>
    <mergeCell ref="E114:H114"/>
    <mergeCell ref="D115:H115"/>
    <mergeCell ref="D117:G117"/>
    <mergeCell ref="H117:I117"/>
    <mergeCell ref="H107:J107"/>
    <mergeCell ref="D108:G108"/>
    <mergeCell ref="H108:I108"/>
    <mergeCell ref="E109:H109"/>
    <mergeCell ref="E110:H110"/>
    <mergeCell ref="E111:H111"/>
    <mergeCell ref="E101:H101"/>
    <mergeCell ref="E102:H102"/>
    <mergeCell ref="E103:H103"/>
    <mergeCell ref="E104:H104"/>
    <mergeCell ref="E105:H105"/>
    <mergeCell ref="D106:H106"/>
    <mergeCell ref="D86:G86"/>
    <mergeCell ref="H86:I86"/>
    <mergeCell ref="D97:G97"/>
    <mergeCell ref="D99:G99"/>
    <mergeCell ref="H99:I99"/>
    <mergeCell ref="E100:H100"/>
    <mergeCell ref="E78:H78"/>
    <mergeCell ref="E79:H79"/>
    <mergeCell ref="E80:H80"/>
    <mergeCell ref="D81:H81"/>
    <mergeCell ref="D84:E84"/>
    <mergeCell ref="D85:E85"/>
    <mergeCell ref="D72:H72"/>
    <mergeCell ref="D74:G74"/>
    <mergeCell ref="H74:I74"/>
    <mergeCell ref="E75:H75"/>
    <mergeCell ref="E76:H76"/>
    <mergeCell ref="E77:H77"/>
    <mergeCell ref="E66:H66"/>
    <mergeCell ref="E67:H67"/>
    <mergeCell ref="E68:H68"/>
    <mergeCell ref="E69:H69"/>
    <mergeCell ref="E70:H70"/>
    <mergeCell ref="E71:H71"/>
    <mergeCell ref="E60:H60"/>
    <mergeCell ref="E61:H61"/>
    <mergeCell ref="E62:H62"/>
    <mergeCell ref="D63:H63"/>
    <mergeCell ref="D65:G65"/>
    <mergeCell ref="H65:I65"/>
    <mergeCell ref="E54:H54"/>
    <mergeCell ref="D55:H55"/>
    <mergeCell ref="D57:G57"/>
    <mergeCell ref="H57:I57"/>
    <mergeCell ref="E58:H58"/>
    <mergeCell ref="E59:H59"/>
    <mergeCell ref="E48:H48"/>
    <mergeCell ref="E49:H49"/>
    <mergeCell ref="E50:H50"/>
    <mergeCell ref="E51:H51"/>
    <mergeCell ref="E52:H52"/>
    <mergeCell ref="E53:H53"/>
    <mergeCell ref="E42:H42"/>
    <mergeCell ref="E43:H43"/>
    <mergeCell ref="E44:H44"/>
    <mergeCell ref="D45:H45"/>
    <mergeCell ref="H46:J46"/>
    <mergeCell ref="D47:G47"/>
    <mergeCell ref="H47:I47"/>
    <mergeCell ref="E36:H36"/>
    <mergeCell ref="E37:H37"/>
    <mergeCell ref="E38:H38"/>
    <mergeCell ref="E39:H39"/>
    <mergeCell ref="E40:H40"/>
    <mergeCell ref="E41:H41"/>
    <mergeCell ref="D21:E21"/>
    <mergeCell ref="D22:G22"/>
    <mergeCell ref="H22:I22"/>
    <mergeCell ref="D33:G33"/>
    <mergeCell ref="D35:G35"/>
    <mergeCell ref="H35:I35"/>
    <mergeCell ref="D1:J1"/>
    <mergeCell ref="E3:J3"/>
    <mergeCell ref="E4:J4"/>
    <mergeCell ref="D6:J6"/>
    <mergeCell ref="J7:J8"/>
    <mergeCell ref="D20:E20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A3A4-E2A1-4C62-B395-D96A8533D092}">
  <sheetPr>
    <tabColor rgb="FF0070C0"/>
  </sheetPr>
  <dimension ref="A5:E119"/>
  <sheetViews>
    <sheetView workbookViewId="0">
      <selection sqref="A1:C1048576"/>
    </sheetView>
  </sheetViews>
  <sheetFormatPr defaultColWidth="9.140625" defaultRowHeight="15" x14ac:dyDescent="0.25"/>
  <cols>
    <col min="1" max="1" width="44.7109375" style="23" customWidth="1"/>
    <col min="2" max="3" width="9.140625" style="23"/>
    <col min="4" max="4" width="32.140625" style="23" bestFit="1" customWidth="1"/>
    <col min="5" max="5" width="71.5703125" style="23" bestFit="1" customWidth="1"/>
    <col min="6" max="6" width="74.42578125" style="23" bestFit="1" customWidth="1"/>
    <col min="7" max="7" width="18.7109375" style="23" bestFit="1" customWidth="1"/>
    <col min="8" max="8" width="19.140625" style="23" bestFit="1" customWidth="1"/>
    <col min="9" max="9" width="11.140625" style="23" bestFit="1" customWidth="1"/>
    <col min="10" max="10" width="12" style="23" bestFit="1" customWidth="1"/>
    <col min="11" max="11" width="14.28515625" style="23" bestFit="1" customWidth="1"/>
    <col min="12" max="12" width="13.42578125" style="23" bestFit="1" customWidth="1"/>
    <col min="13" max="13" width="15.7109375" style="23" bestFit="1" customWidth="1"/>
    <col min="14" max="16384" width="9.140625" style="23"/>
  </cols>
  <sheetData>
    <row r="5" spans="1:5" x14ac:dyDescent="0.25">
      <c r="A5" s="24"/>
    </row>
    <row r="6" spans="1:5" x14ac:dyDescent="0.25">
      <c r="A6" s="24"/>
    </row>
    <row r="7" spans="1:5" x14ac:dyDescent="0.25">
      <c r="A7" s="25" t="s">
        <v>18</v>
      </c>
      <c r="E7" s="19" t="s">
        <v>589</v>
      </c>
    </row>
    <row r="8" spans="1:5" x14ac:dyDescent="0.25">
      <c r="A8" s="25" t="s">
        <v>19</v>
      </c>
      <c r="D8" s="26" t="s">
        <v>590</v>
      </c>
      <c r="E8" s="20"/>
    </row>
    <row r="9" spans="1:5" x14ac:dyDescent="0.25">
      <c r="A9" s="25" t="s">
        <v>120</v>
      </c>
      <c r="D9" s="27" t="s">
        <v>591</v>
      </c>
      <c r="E9" s="21">
        <v>47973.37000000001</v>
      </c>
    </row>
    <row r="10" spans="1:5" x14ac:dyDescent="0.25">
      <c r="A10" s="25" t="s">
        <v>121</v>
      </c>
      <c r="D10" s="27" t="s">
        <v>196</v>
      </c>
      <c r="E10" s="21">
        <v>9730.3700000000008</v>
      </c>
    </row>
    <row r="11" spans="1:5" x14ac:dyDescent="0.25">
      <c r="A11" s="25" t="s">
        <v>20</v>
      </c>
      <c r="D11" s="27" t="s">
        <v>592</v>
      </c>
      <c r="E11" s="21">
        <v>20412.329999999998</v>
      </c>
    </row>
    <row r="12" spans="1:5" x14ac:dyDescent="0.25">
      <c r="A12" s="25" t="s">
        <v>21</v>
      </c>
      <c r="D12" s="27" t="s">
        <v>593</v>
      </c>
      <c r="E12" s="21">
        <v>32129.920000000002</v>
      </c>
    </row>
    <row r="13" spans="1:5" x14ac:dyDescent="0.25">
      <c r="A13" s="25" t="s">
        <v>22</v>
      </c>
      <c r="D13" s="27" t="s">
        <v>140</v>
      </c>
      <c r="E13" s="21">
        <v>5097.4000000000015</v>
      </c>
    </row>
    <row r="14" spans="1:5" x14ac:dyDescent="0.25">
      <c r="A14" s="25" t="s">
        <v>23</v>
      </c>
      <c r="D14" s="27" t="s">
        <v>139</v>
      </c>
      <c r="E14" s="21">
        <v>0</v>
      </c>
    </row>
    <row r="15" spans="1:5" x14ac:dyDescent="0.25">
      <c r="A15" s="25" t="s">
        <v>24</v>
      </c>
      <c r="D15" s="27" t="s">
        <v>553</v>
      </c>
      <c r="E15" s="21"/>
    </row>
    <row r="16" spans="1:5" x14ac:dyDescent="0.25">
      <c r="A16" s="25" t="s">
        <v>25</v>
      </c>
      <c r="D16" s="27" t="s">
        <v>283</v>
      </c>
      <c r="E16" s="21">
        <v>6064.43</v>
      </c>
    </row>
    <row r="17" spans="1:5" x14ac:dyDescent="0.25">
      <c r="A17" s="25" t="s">
        <v>26</v>
      </c>
      <c r="D17" s="27" t="s">
        <v>250</v>
      </c>
      <c r="E17" s="21">
        <v>9292.09</v>
      </c>
    </row>
    <row r="18" spans="1:5" x14ac:dyDescent="0.25">
      <c r="A18" s="25" t="s">
        <v>27</v>
      </c>
      <c r="D18" s="28" t="s">
        <v>594</v>
      </c>
      <c r="E18" s="22">
        <v>130699.91</v>
      </c>
    </row>
    <row r="19" spans="1:5" x14ac:dyDescent="0.25">
      <c r="A19" s="25" t="s">
        <v>28</v>
      </c>
    </row>
    <row r="20" spans="1:5" x14ac:dyDescent="0.25">
      <c r="A20" s="25" t="s">
        <v>122</v>
      </c>
    </row>
    <row r="21" spans="1:5" x14ac:dyDescent="0.25">
      <c r="A21" s="25" t="s">
        <v>29</v>
      </c>
    </row>
    <row r="22" spans="1:5" x14ac:dyDescent="0.25">
      <c r="A22" s="25" t="s">
        <v>30</v>
      </c>
    </row>
    <row r="23" spans="1:5" x14ac:dyDescent="0.25">
      <c r="A23" s="25" t="s">
        <v>31</v>
      </c>
    </row>
    <row r="24" spans="1:5" x14ac:dyDescent="0.25">
      <c r="A24" s="25" t="s">
        <v>32</v>
      </c>
    </row>
    <row r="25" spans="1:5" x14ac:dyDescent="0.25">
      <c r="A25" s="25" t="s">
        <v>33</v>
      </c>
    </row>
    <row r="26" spans="1:5" x14ac:dyDescent="0.25">
      <c r="A26" s="25" t="s">
        <v>34</v>
      </c>
    </row>
    <row r="27" spans="1:5" x14ac:dyDescent="0.25">
      <c r="A27" s="25" t="s">
        <v>35</v>
      </c>
    </row>
    <row r="28" spans="1:5" x14ac:dyDescent="0.25">
      <c r="A28" s="25" t="s">
        <v>36</v>
      </c>
    </row>
    <row r="29" spans="1:5" x14ac:dyDescent="0.25">
      <c r="A29" s="25" t="s">
        <v>37</v>
      </c>
    </row>
    <row r="30" spans="1:5" x14ac:dyDescent="0.25">
      <c r="A30" s="25" t="s">
        <v>38</v>
      </c>
    </row>
    <row r="31" spans="1:5" x14ac:dyDescent="0.25">
      <c r="A31" s="25" t="s">
        <v>39</v>
      </c>
    </row>
    <row r="32" spans="1:5" x14ac:dyDescent="0.25">
      <c r="A32" s="25" t="s">
        <v>40</v>
      </c>
    </row>
    <row r="33" spans="1:1" x14ac:dyDescent="0.25">
      <c r="A33" s="25" t="s">
        <v>41</v>
      </c>
    </row>
    <row r="34" spans="1:1" x14ac:dyDescent="0.25">
      <c r="A34" s="25" t="s">
        <v>42</v>
      </c>
    </row>
    <row r="35" spans="1:1" x14ac:dyDescent="0.25">
      <c r="A35" s="25" t="s">
        <v>43</v>
      </c>
    </row>
    <row r="36" spans="1:1" x14ac:dyDescent="0.25">
      <c r="A36" s="25" t="s">
        <v>44</v>
      </c>
    </row>
    <row r="37" spans="1:1" x14ac:dyDescent="0.25">
      <c r="A37" s="25" t="s">
        <v>45</v>
      </c>
    </row>
    <row r="38" spans="1:1" x14ac:dyDescent="0.25">
      <c r="A38" s="25" t="s">
        <v>46</v>
      </c>
    </row>
    <row r="39" spans="1:1" x14ac:dyDescent="0.25">
      <c r="A39" s="25" t="s">
        <v>47</v>
      </c>
    </row>
    <row r="40" spans="1:1" x14ac:dyDescent="0.25">
      <c r="A40" s="25" t="s">
        <v>48</v>
      </c>
    </row>
    <row r="41" spans="1:1" x14ac:dyDescent="0.25">
      <c r="A41" s="25" t="s">
        <v>49</v>
      </c>
    </row>
    <row r="42" spans="1:1" x14ac:dyDescent="0.25">
      <c r="A42" s="25" t="s">
        <v>50</v>
      </c>
    </row>
    <row r="43" spans="1:1" x14ac:dyDescent="0.25">
      <c r="A43" s="25" t="s">
        <v>51</v>
      </c>
    </row>
    <row r="44" spans="1:1" x14ac:dyDescent="0.25">
      <c r="A44" s="25" t="s">
        <v>52</v>
      </c>
    </row>
    <row r="45" spans="1:1" x14ac:dyDescent="0.25">
      <c r="A45" s="25" t="s">
        <v>53</v>
      </c>
    </row>
    <row r="46" spans="1:1" x14ac:dyDescent="0.25">
      <c r="A46" s="25" t="s">
        <v>54</v>
      </c>
    </row>
    <row r="47" spans="1:1" x14ac:dyDescent="0.25">
      <c r="A47" s="25" t="s">
        <v>55</v>
      </c>
    </row>
    <row r="48" spans="1:1" x14ac:dyDescent="0.25">
      <c r="A48" s="25" t="s">
        <v>56</v>
      </c>
    </row>
    <row r="49" spans="1:1" x14ac:dyDescent="0.25">
      <c r="A49" s="25" t="s">
        <v>57</v>
      </c>
    </row>
    <row r="50" spans="1:1" x14ac:dyDescent="0.25">
      <c r="A50" s="25" t="s">
        <v>58</v>
      </c>
    </row>
    <row r="51" spans="1:1" x14ac:dyDescent="0.25">
      <c r="A51" s="25" t="s">
        <v>59</v>
      </c>
    </row>
    <row r="52" spans="1:1" x14ac:dyDescent="0.25">
      <c r="A52" s="25" t="s">
        <v>60</v>
      </c>
    </row>
    <row r="53" spans="1:1" x14ac:dyDescent="0.25">
      <c r="A53" s="25" t="s">
        <v>61</v>
      </c>
    </row>
    <row r="54" spans="1:1" x14ac:dyDescent="0.25">
      <c r="A54" s="25" t="s">
        <v>62</v>
      </c>
    </row>
    <row r="55" spans="1:1" x14ac:dyDescent="0.25">
      <c r="A55" s="25" t="s">
        <v>63</v>
      </c>
    </row>
    <row r="56" spans="1:1" x14ac:dyDescent="0.25">
      <c r="A56" s="25" t="s">
        <v>64</v>
      </c>
    </row>
    <row r="57" spans="1:1" x14ac:dyDescent="0.25">
      <c r="A57" s="25" t="s">
        <v>65</v>
      </c>
    </row>
    <row r="58" spans="1:1" x14ac:dyDescent="0.25">
      <c r="A58" s="25" t="s">
        <v>66</v>
      </c>
    </row>
    <row r="59" spans="1:1" x14ac:dyDescent="0.25">
      <c r="A59" s="25" t="s">
        <v>67</v>
      </c>
    </row>
    <row r="60" spans="1:1" x14ac:dyDescent="0.25">
      <c r="A60" s="25" t="s">
        <v>68</v>
      </c>
    </row>
    <row r="61" spans="1:1" x14ac:dyDescent="0.25">
      <c r="A61" s="25" t="s">
        <v>69</v>
      </c>
    </row>
    <row r="62" spans="1:1" x14ac:dyDescent="0.25">
      <c r="A62" s="25" t="s">
        <v>70</v>
      </c>
    </row>
    <row r="63" spans="1:1" x14ac:dyDescent="0.25">
      <c r="A63" s="25" t="s">
        <v>71</v>
      </c>
    </row>
    <row r="64" spans="1:1" x14ac:dyDescent="0.25">
      <c r="A64" s="25" t="s">
        <v>72</v>
      </c>
    </row>
    <row r="65" spans="1:1" x14ac:dyDescent="0.25">
      <c r="A65" s="25" t="s">
        <v>73</v>
      </c>
    </row>
    <row r="66" spans="1:1" x14ac:dyDescent="0.25">
      <c r="A66" s="25" t="s">
        <v>74</v>
      </c>
    </row>
    <row r="67" spans="1:1" x14ac:dyDescent="0.25">
      <c r="A67" s="25" t="s">
        <v>75</v>
      </c>
    </row>
    <row r="68" spans="1:1" x14ac:dyDescent="0.25">
      <c r="A68" s="25" t="s">
        <v>76</v>
      </c>
    </row>
    <row r="69" spans="1:1" x14ac:dyDescent="0.25">
      <c r="A69" s="25" t="s">
        <v>77</v>
      </c>
    </row>
    <row r="70" spans="1:1" x14ac:dyDescent="0.25">
      <c r="A70" s="25" t="s">
        <v>78</v>
      </c>
    </row>
    <row r="71" spans="1:1" x14ac:dyDescent="0.25">
      <c r="A71" s="25" t="s">
        <v>79</v>
      </c>
    </row>
    <row r="72" spans="1:1" x14ac:dyDescent="0.25">
      <c r="A72" s="25" t="s">
        <v>123</v>
      </c>
    </row>
    <row r="73" spans="1:1" x14ac:dyDescent="0.25">
      <c r="A73" s="25" t="s">
        <v>81</v>
      </c>
    </row>
    <row r="74" spans="1:1" x14ac:dyDescent="0.25">
      <c r="A74" s="25" t="s">
        <v>82</v>
      </c>
    </row>
    <row r="75" spans="1:1" x14ac:dyDescent="0.25">
      <c r="A75" s="25" t="s">
        <v>124</v>
      </c>
    </row>
    <row r="76" spans="1:1" x14ac:dyDescent="0.25">
      <c r="A76" s="25" t="s">
        <v>125</v>
      </c>
    </row>
    <row r="77" spans="1:1" x14ac:dyDescent="0.25">
      <c r="A77" s="25" t="s">
        <v>83</v>
      </c>
    </row>
    <row r="78" spans="1:1" x14ac:dyDescent="0.25">
      <c r="A78" s="25" t="s">
        <v>84</v>
      </c>
    </row>
    <row r="79" spans="1:1" x14ac:dyDescent="0.25">
      <c r="A79" s="25" t="s">
        <v>85</v>
      </c>
    </row>
    <row r="80" spans="1:1" x14ac:dyDescent="0.25">
      <c r="A80" s="25" t="s">
        <v>86</v>
      </c>
    </row>
    <row r="81" spans="1:1" x14ac:dyDescent="0.25">
      <c r="A81" s="25" t="s">
        <v>87</v>
      </c>
    </row>
    <row r="82" spans="1:1" x14ac:dyDescent="0.25">
      <c r="A82" s="25" t="s">
        <v>88</v>
      </c>
    </row>
    <row r="83" spans="1:1" x14ac:dyDescent="0.25">
      <c r="A83" s="25" t="s">
        <v>89</v>
      </c>
    </row>
    <row r="84" spans="1:1" x14ac:dyDescent="0.25">
      <c r="A84" s="25" t="s">
        <v>90</v>
      </c>
    </row>
    <row r="85" spans="1:1" x14ac:dyDescent="0.25">
      <c r="A85" s="25" t="s">
        <v>91</v>
      </c>
    </row>
    <row r="86" spans="1:1" x14ac:dyDescent="0.25">
      <c r="A86" s="25" t="s">
        <v>92</v>
      </c>
    </row>
    <row r="87" spans="1:1" x14ac:dyDescent="0.25">
      <c r="A87" s="25" t="s">
        <v>93</v>
      </c>
    </row>
    <row r="88" spans="1:1" x14ac:dyDescent="0.25">
      <c r="A88" s="25" t="s">
        <v>94</v>
      </c>
    </row>
    <row r="89" spans="1:1" x14ac:dyDescent="0.25">
      <c r="A89" s="25" t="s">
        <v>95</v>
      </c>
    </row>
    <row r="90" spans="1:1" x14ac:dyDescent="0.25">
      <c r="A90" s="25" t="s">
        <v>96</v>
      </c>
    </row>
    <row r="91" spans="1:1" x14ac:dyDescent="0.25">
      <c r="A91" s="25" t="s">
        <v>97</v>
      </c>
    </row>
    <row r="92" spans="1:1" x14ac:dyDescent="0.25">
      <c r="A92" s="25" t="s">
        <v>98</v>
      </c>
    </row>
    <row r="93" spans="1:1" x14ac:dyDescent="0.25">
      <c r="A93" s="25" t="s">
        <v>99</v>
      </c>
    </row>
    <row r="94" spans="1:1" x14ac:dyDescent="0.25">
      <c r="A94" s="25" t="s">
        <v>100</v>
      </c>
    </row>
    <row r="95" spans="1:1" x14ac:dyDescent="0.25">
      <c r="A95" s="25" t="s">
        <v>102</v>
      </c>
    </row>
    <row r="96" spans="1:1" x14ac:dyDescent="0.25">
      <c r="A96" s="25" t="s">
        <v>103</v>
      </c>
    </row>
    <row r="97" spans="1:1" x14ac:dyDescent="0.25">
      <c r="A97" s="25" t="s">
        <v>104</v>
      </c>
    </row>
    <row r="98" spans="1:1" x14ac:dyDescent="0.25">
      <c r="A98" s="25" t="s">
        <v>105</v>
      </c>
    </row>
    <row r="99" spans="1:1" x14ac:dyDescent="0.25">
      <c r="A99" s="25" t="s">
        <v>106</v>
      </c>
    </row>
    <row r="100" spans="1:1" x14ac:dyDescent="0.25">
      <c r="A100" s="25" t="s">
        <v>107</v>
      </c>
    </row>
    <row r="101" spans="1:1" x14ac:dyDescent="0.25">
      <c r="A101" s="25" t="s">
        <v>108</v>
      </c>
    </row>
    <row r="102" spans="1:1" x14ac:dyDescent="0.25">
      <c r="A102" s="25" t="s">
        <v>109</v>
      </c>
    </row>
    <row r="103" spans="1:1" x14ac:dyDescent="0.25">
      <c r="A103" s="25" t="s">
        <v>110</v>
      </c>
    </row>
    <row r="104" spans="1:1" x14ac:dyDescent="0.25">
      <c r="A104" s="25" t="s">
        <v>111</v>
      </c>
    </row>
    <row r="105" spans="1:1" x14ac:dyDescent="0.25">
      <c r="A105" s="25" t="s">
        <v>112</v>
      </c>
    </row>
    <row r="106" spans="1:1" x14ac:dyDescent="0.25">
      <c r="A106" s="25" t="s">
        <v>113</v>
      </c>
    </row>
    <row r="107" spans="1:1" x14ac:dyDescent="0.25">
      <c r="A107" s="25" t="s">
        <v>114</v>
      </c>
    </row>
    <row r="108" spans="1:1" x14ac:dyDescent="0.25">
      <c r="A108" s="25" t="s">
        <v>115</v>
      </c>
    </row>
    <row r="109" spans="1:1" x14ac:dyDescent="0.25">
      <c r="A109" s="25" t="s">
        <v>126</v>
      </c>
    </row>
    <row r="110" spans="1:1" x14ac:dyDescent="0.25">
      <c r="A110" s="25" t="s">
        <v>127</v>
      </c>
    </row>
    <row r="111" spans="1:1" x14ac:dyDescent="0.25">
      <c r="A111" s="25" t="s">
        <v>128</v>
      </c>
    </row>
    <row r="112" spans="1:1" x14ac:dyDescent="0.25">
      <c r="A112" s="25" t="s">
        <v>129</v>
      </c>
    </row>
    <row r="113" spans="1:1" x14ac:dyDescent="0.25">
      <c r="A113" s="25" t="s">
        <v>130</v>
      </c>
    </row>
    <row r="114" spans="1:1" x14ac:dyDescent="0.25">
      <c r="A114" s="25" t="s">
        <v>131</v>
      </c>
    </row>
    <row r="115" spans="1:1" x14ac:dyDescent="0.25">
      <c r="A115" s="25" t="s">
        <v>132</v>
      </c>
    </row>
    <row r="116" spans="1:1" x14ac:dyDescent="0.25">
      <c r="A116" s="25" t="s">
        <v>116</v>
      </c>
    </row>
    <row r="117" spans="1:1" x14ac:dyDescent="0.25">
      <c r="A117" s="25" t="s">
        <v>117</v>
      </c>
    </row>
    <row r="118" spans="1:1" x14ac:dyDescent="0.25">
      <c r="A118" s="25" t="s">
        <v>118</v>
      </c>
    </row>
    <row r="119" spans="1:1" x14ac:dyDescent="0.25">
      <c r="A119" s="25"/>
    </row>
  </sheetData>
  <conditionalFormatting sqref="E9:E18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07EA-88B8-4773-A626-398F87523E61}">
  <sheetPr>
    <tabColor rgb="FFFF0000"/>
  </sheetPr>
  <dimension ref="A5:E119"/>
  <sheetViews>
    <sheetView workbookViewId="0">
      <selection activeCell="F20" sqref="F20"/>
    </sheetView>
  </sheetViews>
  <sheetFormatPr defaultColWidth="9.140625" defaultRowHeight="15" x14ac:dyDescent="0.25"/>
  <cols>
    <col min="1" max="1" width="44.7109375" style="23" customWidth="1"/>
    <col min="2" max="3" width="9.140625" style="23"/>
    <col min="4" max="4" width="16.85546875" style="23" customWidth="1"/>
    <col min="5" max="5" width="11.5703125" style="23" bestFit="1" customWidth="1"/>
    <col min="6" max="16384" width="9.140625" style="23"/>
  </cols>
  <sheetData>
    <row r="5" spans="1:5" x14ac:dyDescent="0.25">
      <c r="A5" s="24"/>
    </row>
    <row r="6" spans="1:5" x14ac:dyDescent="0.25">
      <c r="A6" s="24"/>
    </row>
    <row r="7" spans="1:5" x14ac:dyDescent="0.25">
      <c r="A7" s="25" t="s">
        <v>18</v>
      </c>
      <c r="D7" s="23" t="s">
        <v>590</v>
      </c>
    </row>
    <row r="8" spans="1:5" x14ac:dyDescent="0.25">
      <c r="A8" s="25" t="s">
        <v>19</v>
      </c>
      <c r="D8" s="23" t="s">
        <v>591</v>
      </c>
      <c r="E8" s="23">
        <v>36911</v>
      </c>
    </row>
    <row r="9" spans="1:5" x14ac:dyDescent="0.25">
      <c r="A9" s="25" t="s">
        <v>120</v>
      </c>
      <c r="D9" s="23" t="s">
        <v>196</v>
      </c>
      <c r="E9" s="23">
        <v>6656</v>
      </c>
    </row>
    <row r="10" spans="1:5" x14ac:dyDescent="0.25">
      <c r="A10" s="25" t="s">
        <v>121</v>
      </c>
      <c r="D10" s="23" t="s">
        <v>592</v>
      </c>
      <c r="E10" s="23">
        <v>21188</v>
      </c>
    </row>
    <row r="11" spans="1:5" x14ac:dyDescent="0.25">
      <c r="A11" s="25" t="s">
        <v>20</v>
      </c>
      <c r="D11" s="23" t="s">
        <v>593</v>
      </c>
      <c r="E11" s="23">
        <v>1600</v>
      </c>
    </row>
    <row r="12" spans="1:5" x14ac:dyDescent="0.25">
      <c r="A12" s="25" t="s">
        <v>21</v>
      </c>
      <c r="D12" s="23" t="s">
        <v>140</v>
      </c>
      <c r="E12" s="23">
        <v>0</v>
      </c>
    </row>
    <row r="13" spans="1:5" x14ac:dyDescent="0.25">
      <c r="A13" s="25" t="s">
        <v>22</v>
      </c>
      <c r="D13" s="23" t="s">
        <v>139</v>
      </c>
      <c r="E13" s="23">
        <v>0</v>
      </c>
    </row>
    <row r="14" spans="1:5" x14ac:dyDescent="0.25">
      <c r="A14" s="25" t="s">
        <v>23</v>
      </c>
      <c r="D14" s="23" t="s">
        <v>283</v>
      </c>
      <c r="E14" s="23">
        <v>0</v>
      </c>
    </row>
    <row r="15" spans="1:5" x14ac:dyDescent="0.25">
      <c r="A15" s="25" t="s">
        <v>24</v>
      </c>
      <c r="D15" s="23" t="s">
        <v>250</v>
      </c>
      <c r="E15" s="23">
        <v>2945</v>
      </c>
    </row>
    <row r="16" spans="1:5" x14ac:dyDescent="0.25">
      <c r="A16" s="25" t="s">
        <v>25</v>
      </c>
      <c r="D16" s="23" t="s">
        <v>594</v>
      </c>
      <c r="E16" s="23">
        <v>69300</v>
      </c>
    </row>
    <row r="17" spans="1:1" x14ac:dyDescent="0.25">
      <c r="A17" s="25" t="s">
        <v>26</v>
      </c>
    </row>
    <row r="18" spans="1:1" x14ac:dyDescent="0.25">
      <c r="A18" s="25" t="s">
        <v>27</v>
      </c>
    </row>
    <row r="19" spans="1:1" x14ac:dyDescent="0.25">
      <c r="A19" s="25" t="s">
        <v>28</v>
      </c>
    </row>
    <row r="20" spans="1:1" x14ac:dyDescent="0.25">
      <c r="A20" s="25" t="s">
        <v>122</v>
      </c>
    </row>
    <row r="21" spans="1:1" x14ac:dyDescent="0.25">
      <c r="A21" s="25" t="s">
        <v>29</v>
      </c>
    </row>
    <row r="22" spans="1:1" x14ac:dyDescent="0.25">
      <c r="A22" s="25" t="s">
        <v>30</v>
      </c>
    </row>
    <row r="23" spans="1:1" x14ac:dyDescent="0.25">
      <c r="A23" s="25" t="s">
        <v>31</v>
      </c>
    </row>
    <row r="24" spans="1:1" x14ac:dyDescent="0.25">
      <c r="A24" s="25" t="s">
        <v>32</v>
      </c>
    </row>
    <row r="25" spans="1:1" x14ac:dyDescent="0.25">
      <c r="A25" s="25" t="s">
        <v>33</v>
      </c>
    </row>
    <row r="26" spans="1:1" x14ac:dyDescent="0.25">
      <c r="A26" s="25" t="s">
        <v>34</v>
      </c>
    </row>
    <row r="27" spans="1:1" x14ac:dyDescent="0.25">
      <c r="A27" s="25" t="s">
        <v>35</v>
      </c>
    </row>
    <row r="28" spans="1:1" x14ac:dyDescent="0.25">
      <c r="A28" s="25" t="s">
        <v>36</v>
      </c>
    </row>
    <row r="29" spans="1:1" x14ac:dyDescent="0.25">
      <c r="A29" s="25" t="s">
        <v>37</v>
      </c>
    </row>
    <row r="30" spans="1:1" x14ac:dyDescent="0.25">
      <c r="A30" s="25" t="s">
        <v>38</v>
      </c>
    </row>
    <row r="31" spans="1:1" x14ac:dyDescent="0.25">
      <c r="A31" s="25" t="s">
        <v>39</v>
      </c>
    </row>
    <row r="32" spans="1:1" x14ac:dyDescent="0.25">
      <c r="A32" s="25" t="s">
        <v>40</v>
      </c>
    </row>
    <row r="33" spans="1:1" x14ac:dyDescent="0.25">
      <c r="A33" s="25" t="s">
        <v>41</v>
      </c>
    </row>
    <row r="34" spans="1:1" x14ac:dyDescent="0.25">
      <c r="A34" s="25" t="s">
        <v>42</v>
      </c>
    </row>
    <row r="35" spans="1:1" x14ac:dyDescent="0.25">
      <c r="A35" s="25" t="s">
        <v>43</v>
      </c>
    </row>
    <row r="36" spans="1:1" x14ac:dyDescent="0.25">
      <c r="A36" s="25" t="s">
        <v>44</v>
      </c>
    </row>
    <row r="37" spans="1:1" x14ac:dyDescent="0.25">
      <c r="A37" s="25" t="s">
        <v>45</v>
      </c>
    </row>
    <row r="38" spans="1:1" x14ac:dyDescent="0.25">
      <c r="A38" s="25" t="s">
        <v>46</v>
      </c>
    </row>
    <row r="39" spans="1:1" x14ac:dyDescent="0.25">
      <c r="A39" s="25" t="s">
        <v>47</v>
      </c>
    </row>
    <row r="40" spans="1:1" x14ac:dyDescent="0.25">
      <c r="A40" s="25" t="s">
        <v>48</v>
      </c>
    </row>
    <row r="41" spans="1:1" x14ac:dyDescent="0.25">
      <c r="A41" s="25" t="s">
        <v>49</v>
      </c>
    </row>
    <row r="42" spans="1:1" x14ac:dyDescent="0.25">
      <c r="A42" s="25" t="s">
        <v>50</v>
      </c>
    </row>
    <row r="43" spans="1:1" x14ac:dyDescent="0.25">
      <c r="A43" s="25" t="s">
        <v>51</v>
      </c>
    </row>
    <row r="44" spans="1:1" x14ac:dyDescent="0.25">
      <c r="A44" s="25" t="s">
        <v>52</v>
      </c>
    </row>
    <row r="45" spans="1:1" x14ac:dyDescent="0.25">
      <c r="A45" s="25" t="s">
        <v>53</v>
      </c>
    </row>
    <row r="46" spans="1:1" x14ac:dyDescent="0.25">
      <c r="A46" s="25" t="s">
        <v>54</v>
      </c>
    </row>
    <row r="47" spans="1:1" x14ac:dyDescent="0.25">
      <c r="A47" s="25" t="s">
        <v>55</v>
      </c>
    </row>
    <row r="48" spans="1:1" x14ac:dyDescent="0.25">
      <c r="A48" s="25" t="s">
        <v>56</v>
      </c>
    </row>
    <row r="49" spans="1:1" x14ac:dyDescent="0.25">
      <c r="A49" s="25" t="s">
        <v>57</v>
      </c>
    </row>
    <row r="50" spans="1:1" x14ac:dyDescent="0.25">
      <c r="A50" s="25" t="s">
        <v>58</v>
      </c>
    </row>
    <row r="51" spans="1:1" x14ac:dyDescent="0.25">
      <c r="A51" s="25" t="s">
        <v>59</v>
      </c>
    </row>
    <row r="52" spans="1:1" x14ac:dyDescent="0.25">
      <c r="A52" s="25" t="s">
        <v>60</v>
      </c>
    </row>
    <row r="53" spans="1:1" x14ac:dyDescent="0.25">
      <c r="A53" s="25" t="s">
        <v>61</v>
      </c>
    </row>
    <row r="54" spans="1:1" x14ac:dyDescent="0.25">
      <c r="A54" s="25" t="s">
        <v>62</v>
      </c>
    </row>
    <row r="55" spans="1:1" x14ac:dyDescent="0.25">
      <c r="A55" s="25" t="s">
        <v>63</v>
      </c>
    </row>
    <row r="56" spans="1:1" x14ac:dyDescent="0.25">
      <c r="A56" s="25" t="s">
        <v>64</v>
      </c>
    </row>
    <row r="57" spans="1:1" x14ac:dyDescent="0.25">
      <c r="A57" s="25" t="s">
        <v>65</v>
      </c>
    </row>
    <row r="58" spans="1:1" x14ac:dyDescent="0.25">
      <c r="A58" s="25" t="s">
        <v>66</v>
      </c>
    </row>
    <row r="59" spans="1:1" x14ac:dyDescent="0.25">
      <c r="A59" s="25" t="s">
        <v>67</v>
      </c>
    </row>
    <row r="60" spans="1:1" x14ac:dyDescent="0.25">
      <c r="A60" s="25" t="s">
        <v>68</v>
      </c>
    </row>
    <row r="61" spans="1:1" x14ac:dyDescent="0.25">
      <c r="A61" s="25" t="s">
        <v>69</v>
      </c>
    </row>
    <row r="62" spans="1:1" x14ac:dyDescent="0.25">
      <c r="A62" s="25" t="s">
        <v>70</v>
      </c>
    </row>
    <row r="63" spans="1:1" x14ac:dyDescent="0.25">
      <c r="A63" s="25" t="s">
        <v>71</v>
      </c>
    </row>
    <row r="64" spans="1:1" x14ac:dyDescent="0.25">
      <c r="A64" s="25" t="s">
        <v>72</v>
      </c>
    </row>
    <row r="65" spans="1:1" x14ac:dyDescent="0.25">
      <c r="A65" s="25" t="s">
        <v>73</v>
      </c>
    </row>
    <row r="66" spans="1:1" x14ac:dyDescent="0.25">
      <c r="A66" s="25" t="s">
        <v>74</v>
      </c>
    </row>
    <row r="67" spans="1:1" x14ac:dyDescent="0.25">
      <c r="A67" s="25" t="s">
        <v>75</v>
      </c>
    </row>
    <row r="68" spans="1:1" x14ac:dyDescent="0.25">
      <c r="A68" s="25" t="s">
        <v>76</v>
      </c>
    </row>
    <row r="69" spans="1:1" x14ac:dyDescent="0.25">
      <c r="A69" s="25" t="s">
        <v>77</v>
      </c>
    </row>
    <row r="70" spans="1:1" x14ac:dyDescent="0.25">
      <c r="A70" s="25" t="s">
        <v>78</v>
      </c>
    </row>
    <row r="71" spans="1:1" x14ac:dyDescent="0.25">
      <c r="A71" s="25" t="s">
        <v>79</v>
      </c>
    </row>
    <row r="72" spans="1:1" x14ac:dyDescent="0.25">
      <c r="A72" s="25" t="s">
        <v>123</v>
      </c>
    </row>
    <row r="73" spans="1:1" x14ac:dyDescent="0.25">
      <c r="A73" s="25" t="s">
        <v>81</v>
      </c>
    </row>
    <row r="74" spans="1:1" x14ac:dyDescent="0.25">
      <c r="A74" s="25" t="s">
        <v>82</v>
      </c>
    </row>
    <row r="75" spans="1:1" x14ac:dyDescent="0.25">
      <c r="A75" s="25" t="s">
        <v>124</v>
      </c>
    </row>
    <row r="76" spans="1:1" x14ac:dyDescent="0.25">
      <c r="A76" s="25" t="s">
        <v>125</v>
      </c>
    </row>
    <row r="77" spans="1:1" x14ac:dyDescent="0.25">
      <c r="A77" s="25" t="s">
        <v>83</v>
      </c>
    </row>
    <row r="78" spans="1:1" x14ac:dyDescent="0.25">
      <c r="A78" s="25" t="s">
        <v>84</v>
      </c>
    </row>
    <row r="79" spans="1:1" x14ac:dyDescent="0.25">
      <c r="A79" s="25" t="s">
        <v>85</v>
      </c>
    </row>
    <row r="80" spans="1:1" x14ac:dyDescent="0.25">
      <c r="A80" s="25" t="s">
        <v>86</v>
      </c>
    </row>
    <row r="81" spans="1:1" x14ac:dyDescent="0.25">
      <c r="A81" s="25" t="s">
        <v>87</v>
      </c>
    </row>
    <row r="82" spans="1:1" x14ac:dyDescent="0.25">
      <c r="A82" s="25" t="s">
        <v>88</v>
      </c>
    </row>
    <row r="83" spans="1:1" x14ac:dyDescent="0.25">
      <c r="A83" s="25" t="s">
        <v>89</v>
      </c>
    </row>
    <row r="84" spans="1:1" x14ac:dyDescent="0.25">
      <c r="A84" s="25" t="s">
        <v>90</v>
      </c>
    </row>
    <row r="85" spans="1:1" x14ac:dyDescent="0.25">
      <c r="A85" s="25" t="s">
        <v>91</v>
      </c>
    </row>
    <row r="86" spans="1:1" x14ac:dyDescent="0.25">
      <c r="A86" s="25" t="s">
        <v>92</v>
      </c>
    </row>
    <row r="87" spans="1:1" x14ac:dyDescent="0.25">
      <c r="A87" s="25" t="s">
        <v>93</v>
      </c>
    </row>
    <row r="88" spans="1:1" x14ac:dyDescent="0.25">
      <c r="A88" s="25" t="s">
        <v>94</v>
      </c>
    </row>
    <row r="89" spans="1:1" x14ac:dyDescent="0.25">
      <c r="A89" s="25" t="s">
        <v>95</v>
      </c>
    </row>
    <row r="90" spans="1:1" x14ac:dyDescent="0.25">
      <c r="A90" s="25" t="s">
        <v>96</v>
      </c>
    </row>
    <row r="91" spans="1:1" x14ac:dyDescent="0.25">
      <c r="A91" s="25" t="s">
        <v>97</v>
      </c>
    </row>
    <row r="92" spans="1:1" x14ac:dyDescent="0.25">
      <c r="A92" s="25" t="s">
        <v>98</v>
      </c>
    </row>
    <row r="93" spans="1:1" x14ac:dyDescent="0.25">
      <c r="A93" s="25" t="s">
        <v>99</v>
      </c>
    </row>
    <row r="94" spans="1:1" x14ac:dyDescent="0.25">
      <c r="A94" s="25" t="s">
        <v>100</v>
      </c>
    </row>
    <row r="95" spans="1:1" x14ac:dyDescent="0.25">
      <c r="A95" s="25" t="s">
        <v>102</v>
      </c>
    </row>
    <row r="96" spans="1:1" x14ac:dyDescent="0.25">
      <c r="A96" s="25" t="s">
        <v>103</v>
      </c>
    </row>
    <row r="97" spans="1:1" x14ac:dyDescent="0.25">
      <c r="A97" s="25" t="s">
        <v>104</v>
      </c>
    </row>
    <row r="98" spans="1:1" x14ac:dyDescent="0.25">
      <c r="A98" s="25" t="s">
        <v>105</v>
      </c>
    </row>
    <row r="99" spans="1:1" x14ac:dyDescent="0.25">
      <c r="A99" s="25" t="s">
        <v>106</v>
      </c>
    </row>
    <row r="100" spans="1:1" x14ac:dyDescent="0.25">
      <c r="A100" s="25" t="s">
        <v>107</v>
      </c>
    </row>
    <row r="101" spans="1:1" x14ac:dyDescent="0.25">
      <c r="A101" s="25" t="s">
        <v>108</v>
      </c>
    </row>
    <row r="102" spans="1:1" x14ac:dyDescent="0.25">
      <c r="A102" s="25" t="s">
        <v>109</v>
      </c>
    </row>
    <row r="103" spans="1:1" x14ac:dyDescent="0.25">
      <c r="A103" s="25" t="s">
        <v>110</v>
      </c>
    </row>
    <row r="104" spans="1:1" x14ac:dyDescent="0.25">
      <c r="A104" s="25" t="s">
        <v>111</v>
      </c>
    </row>
    <row r="105" spans="1:1" x14ac:dyDescent="0.25">
      <c r="A105" s="25" t="s">
        <v>112</v>
      </c>
    </row>
    <row r="106" spans="1:1" x14ac:dyDescent="0.25">
      <c r="A106" s="25" t="s">
        <v>113</v>
      </c>
    </row>
    <row r="107" spans="1:1" x14ac:dyDescent="0.25">
      <c r="A107" s="25" t="s">
        <v>114</v>
      </c>
    </row>
    <row r="108" spans="1:1" x14ac:dyDescent="0.25">
      <c r="A108" s="25" t="s">
        <v>115</v>
      </c>
    </row>
    <row r="109" spans="1:1" x14ac:dyDescent="0.25">
      <c r="A109" s="25" t="s">
        <v>126</v>
      </c>
    </row>
    <row r="110" spans="1:1" x14ac:dyDescent="0.25">
      <c r="A110" s="25" t="s">
        <v>127</v>
      </c>
    </row>
    <row r="111" spans="1:1" x14ac:dyDescent="0.25">
      <c r="A111" s="25" t="s">
        <v>128</v>
      </c>
    </row>
    <row r="112" spans="1:1" x14ac:dyDescent="0.25">
      <c r="A112" s="25" t="s">
        <v>129</v>
      </c>
    </row>
    <row r="113" spans="1:1" x14ac:dyDescent="0.25">
      <c r="A113" s="25" t="s">
        <v>130</v>
      </c>
    </row>
    <row r="114" spans="1:1" x14ac:dyDescent="0.25">
      <c r="A114" s="25" t="s">
        <v>131</v>
      </c>
    </row>
    <row r="115" spans="1:1" x14ac:dyDescent="0.25">
      <c r="A115" s="25" t="s">
        <v>132</v>
      </c>
    </row>
    <row r="116" spans="1:1" x14ac:dyDescent="0.25">
      <c r="A116" s="25" t="s">
        <v>116</v>
      </c>
    </row>
    <row r="117" spans="1:1" x14ac:dyDescent="0.25">
      <c r="A117" s="25" t="s">
        <v>117</v>
      </c>
    </row>
    <row r="118" spans="1:1" x14ac:dyDescent="0.25">
      <c r="A118" s="25" t="s">
        <v>118</v>
      </c>
    </row>
    <row r="119" spans="1:1" x14ac:dyDescent="0.25">
      <c r="A119" s="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21565-BFCF-4824-9475-932A19FBCD11}">
  <sheetPr>
    <tabColor rgb="FF7030A0"/>
  </sheetPr>
  <dimension ref="A5:H119"/>
  <sheetViews>
    <sheetView workbookViewId="0">
      <selection activeCell="E22" sqref="E22"/>
    </sheetView>
  </sheetViews>
  <sheetFormatPr defaultRowHeight="15" x14ac:dyDescent="0.25"/>
  <cols>
    <col min="1" max="1" width="44.7109375" customWidth="1"/>
    <col min="4" max="4" width="30.140625" bestFit="1" customWidth="1"/>
    <col min="5" max="5" width="45.7109375" bestFit="1" customWidth="1"/>
    <col min="6" max="7" width="12.7109375" customWidth="1"/>
    <col min="8" max="8" width="71.7109375" bestFit="1" customWidth="1"/>
  </cols>
  <sheetData>
    <row r="5" spans="1:8" x14ac:dyDescent="0.25">
      <c r="A5" s="1"/>
    </row>
    <row r="6" spans="1:8" x14ac:dyDescent="0.25">
      <c r="A6" s="1"/>
    </row>
    <row r="7" spans="1:8" x14ac:dyDescent="0.25">
      <c r="A7" s="2" t="s">
        <v>18</v>
      </c>
      <c r="D7" t="s">
        <v>595</v>
      </c>
    </row>
    <row r="8" spans="1:8" x14ac:dyDescent="0.25">
      <c r="A8" s="2" t="s">
        <v>19</v>
      </c>
    </row>
    <row r="9" spans="1:8" x14ac:dyDescent="0.25">
      <c r="A9" s="2" t="s">
        <v>120</v>
      </c>
      <c r="D9" t="s">
        <v>498</v>
      </c>
      <c r="E9" t="s">
        <v>596</v>
      </c>
    </row>
    <row r="10" spans="1:8" x14ac:dyDescent="0.25">
      <c r="A10" s="2" t="s">
        <v>121</v>
      </c>
      <c r="D10" t="s">
        <v>597</v>
      </c>
      <c r="E10" t="s">
        <v>598</v>
      </c>
    </row>
    <row r="11" spans="1:8" x14ac:dyDescent="0.25">
      <c r="A11" s="2" t="s">
        <v>20</v>
      </c>
      <c r="D11" t="s">
        <v>500</v>
      </c>
      <c r="E11" t="s">
        <v>599</v>
      </c>
    </row>
    <row r="12" spans="1:8" x14ac:dyDescent="0.25">
      <c r="A12" s="2" t="s">
        <v>21</v>
      </c>
    </row>
    <row r="13" spans="1:8" x14ac:dyDescent="0.25">
      <c r="A13" s="2" t="s">
        <v>22</v>
      </c>
    </row>
    <row r="14" spans="1:8" x14ac:dyDescent="0.25">
      <c r="A14" s="2" t="s">
        <v>23</v>
      </c>
      <c r="D14" t="s">
        <v>508</v>
      </c>
      <c r="E14">
        <v>26000</v>
      </c>
      <c r="F14">
        <f>E14*0.0765</f>
        <v>1989</v>
      </c>
      <c r="H14" t="s">
        <v>600</v>
      </c>
    </row>
    <row r="15" spans="1:8" x14ac:dyDescent="0.25">
      <c r="A15" s="2" t="s">
        <v>24</v>
      </c>
      <c r="D15" t="s">
        <v>276</v>
      </c>
      <c r="E15">
        <v>4940</v>
      </c>
      <c r="H15" t="s">
        <v>601</v>
      </c>
    </row>
    <row r="16" spans="1:8" x14ac:dyDescent="0.25">
      <c r="A16" s="2" t="s">
        <v>25</v>
      </c>
      <c r="D16" t="s">
        <v>207</v>
      </c>
      <c r="E16">
        <v>5941</v>
      </c>
      <c r="H16" t="s">
        <v>602</v>
      </c>
    </row>
    <row r="17" spans="1:8" x14ac:dyDescent="0.25">
      <c r="A17" s="2" t="s">
        <v>26</v>
      </c>
      <c r="D17" t="s">
        <v>593</v>
      </c>
      <c r="E17">
        <v>14000</v>
      </c>
      <c r="H17" t="s">
        <v>603</v>
      </c>
    </row>
    <row r="18" spans="1:8" x14ac:dyDescent="0.25">
      <c r="A18" s="2" t="s">
        <v>27</v>
      </c>
      <c r="D18" t="s">
        <v>140</v>
      </c>
      <c r="E18">
        <v>6400</v>
      </c>
      <c r="H18" t="s">
        <v>604</v>
      </c>
    </row>
    <row r="19" spans="1:8" x14ac:dyDescent="0.25">
      <c r="A19" s="2" t="s">
        <v>28</v>
      </c>
      <c r="D19" t="s">
        <v>139</v>
      </c>
      <c r="E19" t="s">
        <v>605</v>
      </c>
    </row>
    <row r="20" spans="1:8" x14ac:dyDescent="0.25">
      <c r="A20" s="2" t="s">
        <v>122</v>
      </c>
      <c r="D20" t="s">
        <v>606</v>
      </c>
      <c r="E20">
        <v>10800</v>
      </c>
    </row>
    <row r="21" spans="1:8" x14ac:dyDescent="0.25">
      <c r="A21" s="2" t="s">
        <v>29</v>
      </c>
      <c r="D21" t="s">
        <v>283</v>
      </c>
      <c r="E21">
        <v>4300</v>
      </c>
      <c r="H21" t="s">
        <v>607</v>
      </c>
    </row>
    <row r="22" spans="1:8" x14ac:dyDescent="0.25">
      <c r="A22" s="2" t="s">
        <v>30</v>
      </c>
      <c r="D22" t="s">
        <v>608</v>
      </c>
      <c r="E22">
        <v>9600</v>
      </c>
      <c r="H22" t="s">
        <v>609</v>
      </c>
    </row>
    <row r="23" spans="1:8" x14ac:dyDescent="0.25">
      <c r="A23" s="2" t="s">
        <v>31</v>
      </c>
      <c r="D23" t="s">
        <v>512</v>
      </c>
      <c r="E23">
        <v>81981</v>
      </c>
    </row>
    <row r="24" spans="1:8" x14ac:dyDescent="0.25">
      <c r="A24" s="2" t="s">
        <v>32</v>
      </c>
    </row>
    <row r="25" spans="1:8" x14ac:dyDescent="0.25">
      <c r="A25" s="2" t="s">
        <v>33</v>
      </c>
    </row>
    <row r="26" spans="1:8" x14ac:dyDescent="0.25">
      <c r="A26" s="2" t="s">
        <v>34</v>
      </c>
    </row>
    <row r="27" spans="1:8" x14ac:dyDescent="0.25">
      <c r="A27" s="2" t="s">
        <v>35</v>
      </c>
    </row>
    <row r="28" spans="1:8" x14ac:dyDescent="0.25">
      <c r="A28" s="2" t="s">
        <v>36</v>
      </c>
    </row>
    <row r="29" spans="1:8" x14ac:dyDescent="0.25">
      <c r="A29" s="2" t="s">
        <v>37</v>
      </c>
    </row>
    <row r="30" spans="1:8" x14ac:dyDescent="0.25">
      <c r="A30" s="2" t="s">
        <v>38</v>
      </c>
    </row>
    <row r="31" spans="1:8" x14ac:dyDescent="0.25">
      <c r="A31" s="2" t="s">
        <v>39</v>
      </c>
    </row>
    <row r="32" spans="1:8" x14ac:dyDescent="0.25">
      <c r="A32" s="2" t="s">
        <v>40</v>
      </c>
    </row>
    <row r="33" spans="1:1" x14ac:dyDescent="0.25">
      <c r="A33" s="2" t="s">
        <v>41</v>
      </c>
    </row>
    <row r="34" spans="1:1" x14ac:dyDescent="0.25">
      <c r="A34" s="2" t="s">
        <v>42</v>
      </c>
    </row>
    <row r="35" spans="1:1" x14ac:dyDescent="0.25">
      <c r="A35" s="2" t="s">
        <v>43</v>
      </c>
    </row>
    <row r="36" spans="1:1" x14ac:dyDescent="0.25">
      <c r="A36" s="2" t="s">
        <v>44</v>
      </c>
    </row>
    <row r="37" spans="1:1" x14ac:dyDescent="0.25">
      <c r="A37" s="2" t="s">
        <v>45</v>
      </c>
    </row>
    <row r="38" spans="1:1" x14ac:dyDescent="0.25">
      <c r="A38" s="2" t="s">
        <v>46</v>
      </c>
    </row>
    <row r="39" spans="1:1" x14ac:dyDescent="0.25">
      <c r="A39" s="2" t="s">
        <v>47</v>
      </c>
    </row>
    <row r="40" spans="1:1" x14ac:dyDescent="0.25">
      <c r="A40" s="2" t="s">
        <v>48</v>
      </c>
    </row>
    <row r="41" spans="1:1" x14ac:dyDescent="0.25">
      <c r="A41" s="2" t="s">
        <v>49</v>
      </c>
    </row>
    <row r="42" spans="1:1" x14ac:dyDescent="0.25">
      <c r="A42" s="2" t="s">
        <v>50</v>
      </c>
    </row>
    <row r="43" spans="1:1" x14ac:dyDescent="0.25">
      <c r="A43" s="2" t="s">
        <v>51</v>
      </c>
    </row>
    <row r="44" spans="1:1" x14ac:dyDescent="0.25">
      <c r="A44" s="2" t="s">
        <v>52</v>
      </c>
    </row>
    <row r="45" spans="1:1" x14ac:dyDescent="0.25">
      <c r="A45" s="2" t="s">
        <v>53</v>
      </c>
    </row>
    <row r="46" spans="1:1" x14ac:dyDescent="0.25">
      <c r="A46" s="2" t="s">
        <v>54</v>
      </c>
    </row>
    <row r="47" spans="1:1" x14ac:dyDescent="0.25">
      <c r="A47" s="2" t="s">
        <v>55</v>
      </c>
    </row>
    <row r="48" spans="1:1" x14ac:dyDescent="0.25">
      <c r="A48" s="2" t="s">
        <v>56</v>
      </c>
    </row>
    <row r="49" spans="1:1" x14ac:dyDescent="0.25">
      <c r="A49" s="2" t="s">
        <v>57</v>
      </c>
    </row>
    <row r="50" spans="1:1" x14ac:dyDescent="0.25">
      <c r="A50" s="2" t="s">
        <v>58</v>
      </c>
    </row>
    <row r="51" spans="1:1" x14ac:dyDescent="0.25">
      <c r="A51" s="2" t="s">
        <v>59</v>
      </c>
    </row>
    <row r="52" spans="1:1" x14ac:dyDescent="0.25">
      <c r="A52" s="2" t="s">
        <v>60</v>
      </c>
    </row>
    <row r="53" spans="1:1" x14ac:dyDescent="0.25">
      <c r="A53" s="2" t="s">
        <v>61</v>
      </c>
    </row>
    <row r="54" spans="1:1" x14ac:dyDescent="0.25">
      <c r="A54" s="2" t="s">
        <v>62</v>
      </c>
    </row>
    <row r="55" spans="1:1" x14ac:dyDescent="0.25">
      <c r="A55" s="2" t="s">
        <v>63</v>
      </c>
    </row>
    <row r="56" spans="1:1" x14ac:dyDescent="0.25">
      <c r="A56" s="2" t="s">
        <v>64</v>
      </c>
    </row>
    <row r="57" spans="1:1" x14ac:dyDescent="0.25">
      <c r="A57" s="2" t="s">
        <v>65</v>
      </c>
    </row>
    <row r="58" spans="1:1" x14ac:dyDescent="0.25">
      <c r="A58" s="2" t="s">
        <v>66</v>
      </c>
    </row>
    <row r="59" spans="1:1" x14ac:dyDescent="0.25">
      <c r="A59" s="2" t="s">
        <v>67</v>
      </c>
    </row>
    <row r="60" spans="1:1" x14ac:dyDescent="0.25">
      <c r="A60" s="2" t="s">
        <v>68</v>
      </c>
    </row>
    <row r="61" spans="1:1" x14ac:dyDescent="0.25">
      <c r="A61" s="2" t="s">
        <v>69</v>
      </c>
    </row>
    <row r="62" spans="1:1" x14ac:dyDescent="0.25">
      <c r="A62" s="2" t="s">
        <v>70</v>
      </c>
    </row>
    <row r="63" spans="1:1" x14ac:dyDescent="0.25">
      <c r="A63" s="2" t="s">
        <v>71</v>
      </c>
    </row>
    <row r="64" spans="1:1" x14ac:dyDescent="0.25">
      <c r="A64" s="2" t="s">
        <v>72</v>
      </c>
    </row>
    <row r="65" spans="1:1" x14ac:dyDescent="0.25">
      <c r="A65" s="2" t="s">
        <v>73</v>
      </c>
    </row>
    <row r="66" spans="1:1" x14ac:dyDescent="0.25">
      <c r="A66" s="2" t="s">
        <v>74</v>
      </c>
    </row>
    <row r="67" spans="1:1" x14ac:dyDescent="0.25">
      <c r="A67" s="2" t="s">
        <v>75</v>
      </c>
    </row>
    <row r="68" spans="1:1" x14ac:dyDescent="0.25">
      <c r="A68" s="2" t="s">
        <v>76</v>
      </c>
    </row>
    <row r="69" spans="1:1" x14ac:dyDescent="0.25">
      <c r="A69" s="2" t="s">
        <v>77</v>
      </c>
    </row>
    <row r="70" spans="1:1" x14ac:dyDescent="0.25">
      <c r="A70" s="2" t="s">
        <v>78</v>
      </c>
    </row>
    <row r="71" spans="1:1" x14ac:dyDescent="0.25">
      <c r="A71" s="2" t="s">
        <v>79</v>
      </c>
    </row>
    <row r="72" spans="1:1" x14ac:dyDescent="0.25">
      <c r="A72" s="2" t="s">
        <v>123</v>
      </c>
    </row>
    <row r="73" spans="1:1" x14ac:dyDescent="0.25">
      <c r="A73" s="2" t="s">
        <v>81</v>
      </c>
    </row>
    <row r="74" spans="1:1" x14ac:dyDescent="0.25">
      <c r="A74" s="2" t="s">
        <v>82</v>
      </c>
    </row>
    <row r="75" spans="1:1" x14ac:dyDescent="0.25">
      <c r="A75" s="2" t="s">
        <v>124</v>
      </c>
    </row>
    <row r="76" spans="1:1" x14ac:dyDescent="0.25">
      <c r="A76" s="2" t="s">
        <v>125</v>
      </c>
    </row>
    <row r="77" spans="1:1" x14ac:dyDescent="0.25">
      <c r="A77" s="2" t="s">
        <v>83</v>
      </c>
    </row>
    <row r="78" spans="1:1" x14ac:dyDescent="0.25">
      <c r="A78" s="2" t="s">
        <v>84</v>
      </c>
    </row>
    <row r="79" spans="1:1" x14ac:dyDescent="0.25">
      <c r="A79" s="2" t="s">
        <v>85</v>
      </c>
    </row>
    <row r="80" spans="1:1" x14ac:dyDescent="0.25">
      <c r="A80" s="2" t="s">
        <v>86</v>
      </c>
    </row>
    <row r="81" spans="1:1" x14ac:dyDescent="0.25">
      <c r="A81" s="2" t="s">
        <v>87</v>
      </c>
    </row>
    <row r="82" spans="1:1" x14ac:dyDescent="0.25">
      <c r="A82" s="2" t="s">
        <v>88</v>
      </c>
    </row>
    <row r="83" spans="1:1" x14ac:dyDescent="0.25">
      <c r="A83" s="2" t="s">
        <v>89</v>
      </c>
    </row>
    <row r="84" spans="1:1" x14ac:dyDescent="0.25">
      <c r="A84" s="2" t="s">
        <v>90</v>
      </c>
    </row>
    <row r="85" spans="1:1" x14ac:dyDescent="0.25">
      <c r="A85" s="2" t="s">
        <v>91</v>
      </c>
    </row>
    <row r="86" spans="1:1" x14ac:dyDescent="0.25">
      <c r="A86" s="2" t="s">
        <v>92</v>
      </c>
    </row>
    <row r="87" spans="1:1" x14ac:dyDescent="0.25">
      <c r="A87" s="2" t="s">
        <v>93</v>
      </c>
    </row>
    <row r="88" spans="1:1" x14ac:dyDescent="0.25">
      <c r="A88" s="2" t="s">
        <v>94</v>
      </c>
    </row>
    <row r="89" spans="1:1" x14ac:dyDescent="0.25">
      <c r="A89" s="2" t="s">
        <v>95</v>
      </c>
    </row>
    <row r="90" spans="1:1" x14ac:dyDescent="0.25">
      <c r="A90" s="2" t="s">
        <v>96</v>
      </c>
    </row>
    <row r="91" spans="1:1" x14ac:dyDescent="0.25">
      <c r="A91" s="2" t="s">
        <v>97</v>
      </c>
    </row>
    <row r="92" spans="1:1" x14ac:dyDescent="0.25">
      <c r="A92" s="2" t="s">
        <v>98</v>
      </c>
    </row>
    <row r="93" spans="1:1" x14ac:dyDescent="0.25">
      <c r="A93" s="2" t="s">
        <v>99</v>
      </c>
    </row>
    <row r="94" spans="1:1" x14ac:dyDescent="0.25">
      <c r="A94" s="2" t="s">
        <v>100</v>
      </c>
    </row>
    <row r="95" spans="1:1" x14ac:dyDescent="0.25">
      <c r="A95" s="2" t="s">
        <v>102</v>
      </c>
    </row>
    <row r="96" spans="1:1" x14ac:dyDescent="0.25">
      <c r="A96" s="2" t="s">
        <v>103</v>
      </c>
    </row>
    <row r="97" spans="1:1" x14ac:dyDescent="0.25">
      <c r="A97" s="2" t="s">
        <v>104</v>
      </c>
    </row>
    <row r="98" spans="1:1" x14ac:dyDescent="0.25">
      <c r="A98" s="2" t="s">
        <v>105</v>
      </c>
    </row>
    <row r="99" spans="1:1" x14ac:dyDescent="0.25">
      <c r="A99" s="2" t="s">
        <v>106</v>
      </c>
    </row>
    <row r="100" spans="1:1" x14ac:dyDescent="0.25">
      <c r="A100" s="2" t="s">
        <v>107</v>
      </c>
    </row>
    <row r="101" spans="1:1" x14ac:dyDescent="0.25">
      <c r="A101" s="2" t="s">
        <v>108</v>
      </c>
    </row>
    <row r="102" spans="1:1" x14ac:dyDescent="0.25">
      <c r="A102" s="2" t="s">
        <v>109</v>
      </c>
    </row>
    <row r="103" spans="1:1" x14ac:dyDescent="0.25">
      <c r="A103" s="2" t="s">
        <v>110</v>
      </c>
    </row>
    <row r="104" spans="1:1" x14ac:dyDescent="0.25">
      <c r="A104" s="2" t="s">
        <v>111</v>
      </c>
    </row>
    <row r="105" spans="1:1" x14ac:dyDescent="0.25">
      <c r="A105" s="2" t="s">
        <v>112</v>
      </c>
    </row>
    <row r="106" spans="1:1" x14ac:dyDescent="0.25">
      <c r="A106" s="2" t="s">
        <v>113</v>
      </c>
    </row>
    <row r="107" spans="1:1" x14ac:dyDescent="0.25">
      <c r="A107" s="2" t="s">
        <v>114</v>
      </c>
    </row>
    <row r="108" spans="1:1" x14ac:dyDescent="0.25">
      <c r="A108" s="2" t="s">
        <v>115</v>
      </c>
    </row>
    <row r="109" spans="1:1" x14ac:dyDescent="0.25">
      <c r="A109" s="2" t="s">
        <v>126</v>
      </c>
    </row>
    <row r="110" spans="1:1" x14ac:dyDescent="0.25">
      <c r="A110" s="2" t="s">
        <v>127</v>
      </c>
    </row>
    <row r="111" spans="1:1" x14ac:dyDescent="0.25">
      <c r="A111" s="2" t="s">
        <v>128</v>
      </c>
    </row>
    <row r="112" spans="1:1" x14ac:dyDescent="0.25">
      <c r="A112" s="2" t="s">
        <v>129</v>
      </c>
    </row>
    <row r="113" spans="1:1" x14ac:dyDescent="0.25">
      <c r="A113" s="2" t="s">
        <v>130</v>
      </c>
    </row>
    <row r="114" spans="1:1" x14ac:dyDescent="0.25">
      <c r="A114" s="2" t="s">
        <v>131</v>
      </c>
    </row>
    <row r="115" spans="1:1" x14ac:dyDescent="0.25">
      <c r="A115" s="2" t="s">
        <v>132</v>
      </c>
    </row>
    <row r="116" spans="1:1" x14ac:dyDescent="0.25">
      <c r="A116" s="2" t="s">
        <v>116</v>
      </c>
    </row>
    <row r="117" spans="1:1" x14ac:dyDescent="0.25">
      <c r="A117" s="2" t="s">
        <v>117</v>
      </c>
    </row>
    <row r="118" spans="1:1" x14ac:dyDescent="0.25">
      <c r="A118" s="2" t="s">
        <v>118</v>
      </c>
    </row>
    <row r="119" spans="1:1" x14ac:dyDescent="0.25">
      <c r="A119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E552-1A57-43F4-A591-D118ABB60495}">
  <sheetPr>
    <tabColor rgb="FF4B2AC6"/>
  </sheetPr>
  <dimension ref="A5:G119"/>
  <sheetViews>
    <sheetView workbookViewId="0">
      <selection activeCell="E18" sqref="E18"/>
    </sheetView>
  </sheetViews>
  <sheetFormatPr defaultColWidth="9.140625" defaultRowHeight="15" x14ac:dyDescent="0.25"/>
  <cols>
    <col min="1" max="1" width="44.7109375" style="23" customWidth="1"/>
    <col min="2" max="3" width="9.140625" style="23"/>
    <col min="4" max="4" width="28.85546875" style="23" bestFit="1" customWidth="1"/>
    <col min="5" max="5" width="11.5703125" style="23" bestFit="1" customWidth="1"/>
    <col min="6" max="6" width="9.140625" style="23"/>
    <col min="7" max="8" width="10.5703125" style="23" bestFit="1" customWidth="1"/>
    <col min="9" max="16384" width="9.140625" style="23"/>
  </cols>
  <sheetData>
    <row r="5" spans="1:7" x14ac:dyDescent="0.25">
      <c r="A5" s="24"/>
    </row>
    <row r="6" spans="1:7" x14ac:dyDescent="0.25">
      <c r="A6" s="24"/>
    </row>
    <row r="7" spans="1:7" x14ac:dyDescent="0.25">
      <c r="A7" s="25" t="s">
        <v>18</v>
      </c>
      <c r="D7" s="157" t="s">
        <v>590</v>
      </c>
      <c r="E7" s="157"/>
      <c r="F7" s="157"/>
      <c r="G7" s="157"/>
    </row>
    <row r="8" spans="1:7" x14ac:dyDescent="0.25">
      <c r="A8" s="25" t="s">
        <v>19</v>
      </c>
      <c r="D8" s="158" t="s">
        <v>610</v>
      </c>
      <c r="E8" s="158">
        <v>20800</v>
      </c>
      <c r="F8" s="158"/>
      <c r="G8" s="158"/>
    </row>
    <row r="9" spans="1:7" x14ac:dyDescent="0.25">
      <c r="A9" s="25" t="s">
        <v>120</v>
      </c>
      <c r="D9" s="158" t="s">
        <v>196</v>
      </c>
      <c r="E9" s="158">
        <v>3120</v>
      </c>
      <c r="F9" s="158"/>
      <c r="G9" s="158">
        <f>20800*0.0765</f>
        <v>1591.2</v>
      </c>
    </row>
    <row r="10" spans="1:7" x14ac:dyDescent="0.25">
      <c r="A10" s="25" t="s">
        <v>121</v>
      </c>
      <c r="D10" s="157" t="s">
        <v>207</v>
      </c>
      <c r="E10" s="158">
        <v>4800</v>
      </c>
      <c r="F10" s="157"/>
      <c r="G10" s="157"/>
    </row>
    <row r="11" spans="1:7" x14ac:dyDescent="0.25">
      <c r="A11" s="25" t="s">
        <v>20</v>
      </c>
      <c r="D11" s="157" t="s">
        <v>611</v>
      </c>
      <c r="E11" s="157">
        <v>0</v>
      </c>
      <c r="F11" s="157"/>
      <c r="G11" s="157"/>
    </row>
    <row r="12" spans="1:7" x14ac:dyDescent="0.25">
      <c r="A12" s="25" t="s">
        <v>21</v>
      </c>
      <c r="D12" s="157" t="s">
        <v>140</v>
      </c>
      <c r="E12" s="158">
        <v>1000</v>
      </c>
      <c r="F12" s="157"/>
      <c r="G12" s="157"/>
    </row>
    <row r="13" spans="1:7" x14ac:dyDescent="0.25">
      <c r="A13" s="25" t="s">
        <v>22</v>
      </c>
      <c r="D13" s="157" t="s">
        <v>612</v>
      </c>
      <c r="E13" s="158">
        <v>6287.5</v>
      </c>
      <c r="F13" s="157"/>
      <c r="G13" s="157"/>
    </row>
    <row r="14" spans="1:7" x14ac:dyDescent="0.25">
      <c r="A14" s="25" t="s">
        <v>23</v>
      </c>
      <c r="D14" s="157" t="s">
        <v>283</v>
      </c>
      <c r="E14" s="158">
        <v>792</v>
      </c>
      <c r="F14" s="157"/>
      <c r="G14" s="157"/>
    </row>
    <row r="15" spans="1:7" x14ac:dyDescent="0.25">
      <c r="A15" s="25" t="s">
        <v>24</v>
      </c>
      <c r="D15" s="157" t="s">
        <v>613</v>
      </c>
      <c r="E15" s="157">
        <v>0</v>
      </c>
      <c r="F15" s="157"/>
      <c r="G15" s="157"/>
    </row>
    <row r="16" spans="1:7" x14ac:dyDescent="0.25">
      <c r="A16" s="25" t="s">
        <v>25</v>
      </c>
      <c r="D16" s="157" t="s">
        <v>614</v>
      </c>
      <c r="E16" s="157">
        <v>0</v>
      </c>
      <c r="F16" s="157"/>
      <c r="G16" s="157"/>
    </row>
    <row r="17" spans="1:7" x14ac:dyDescent="0.25">
      <c r="A17" s="25" t="s">
        <v>26</v>
      </c>
      <c r="D17" s="157" t="s">
        <v>606</v>
      </c>
      <c r="E17" s="157"/>
      <c r="F17" s="157"/>
      <c r="G17" s="157"/>
    </row>
    <row r="18" spans="1:7" x14ac:dyDescent="0.25">
      <c r="A18" s="25" t="s">
        <v>27</v>
      </c>
      <c r="D18" s="157" t="s">
        <v>250</v>
      </c>
      <c r="E18" s="158">
        <v>3200.5</v>
      </c>
      <c r="F18" s="157"/>
      <c r="G18" s="157"/>
    </row>
    <row r="19" spans="1:7" x14ac:dyDescent="0.25">
      <c r="A19" s="25" t="s">
        <v>28</v>
      </c>
      <c r="D19" s="157"/>
      <c r="E19" s="157">
        <v>0</v>
      </c>
      <c r="F19" s="157"/>
      <c r="G19" s="157"/>
    </row>
    <row r="20" spans="1:7" x14ac:dyDescent="0.25">
      <c r="A20" s="25" t="s">
        <v>122</v>
      </c>
      <c r="D20" s="157" t="s">
        <v>594</v>
      </c>
      <c r="E20" s="157">
        <v>40000</v>
      </c>
      <c r="F20" s="157"/>
      <c r="G20" s="157"/>
    </row>
    <row r="21" spans="1:7" x14ac:dyDescent="0.25">
      <c r="A21" s="25" t="s">
        <v>29</v>
      </c>
    </row>
    <row r="22" spans="1:7" x14ac:dyDescent="0.25">
      <c r="A22" s="25" t="s">
        <v>30</v>
      </c>
    </row>
    <row r="23" spans="1:7" x14ac:dyDescent="0.25">
      <c r="A23" s="25" t="s">
        <v>31</v>
      </c>
    </row>
    <row r="24" spans="1:7" x14ac:dyDescent="0.25">
      <c r="A24" s="25" t="s">
        <v>32</v>
      </c>
    </row>
    <row r="25" spans="1:7" x14ac:dyDescent="0.25">
      <c r="A25" s="25" t="s">
        <v>33</v>
      </c>
    </row>
    <row r="26" spans="1:7" x14ac:dyDescent="0.25">
      <c r="A26" s="25" t="s">
        <v>34</v>
      </c>
    </row>
    <row r="27" spans="1:7" x14ac:dyDescent="0.25">
      <c r="A27" s="25" t="s">
        <v>35</v>
      </c>
    </row>
    <row r="28" spans="1:7" x14ac:dyDescent="0.25">
      <c r="A28" s="25" t="s">
        <v>36</v>
      </c>
    </row>
    <row r="29" spans="1:7" x14ac:dyDescent="0.25">
      <c r="A29" s="25" t="s">
        <v>37</v>
      </c>
    </row>
    <row r="30" spans="1:7" x14ac:dyDescent="0.25">
      <c r="A30" s="25" t="s">
        <v>38</v>
      </c>
    </row>
    <row r="31" spans="1:7" x14ac:dyDescent="0.25">
      <c r="A31" s="25" t="s">
        <v>39</v>
      </c>
    </row>
    <row r="32" spans="1:7" x14ac:dyDescent="0.25">
      <c r="A32" s="25" t="s">
        <v>40</v>
      </c>
    </row>
    <row r="33" spans="1:1" x14ac:dyDescent="0.25">
      <c r="A33" s="25" t="s">
        <v>41</v>
      </c>
    </row>
    <row r="34" spans="1:1" x14ac:dyDescent="0.25">
      <c r="A34" s="25" t="s">
        <v>42</v>
      </c>
    </row>
    <row r="35" spans="1:1" x14ac:dyDescent="0.25">
      <c r="A35" s="25" t="s">
        <v>43</v>
      </c>
    </row>
    <row r="36" spans="1:1" x14ac:dyDescent="0.25">
      <c r="A36" s="25" t="s">
        <v>44</v>
      </c>
    </row>
    <row r="37" spans="1:1" x14ac:dyDescent="0.25">
      <c r="A37" s="25" t="s">
        <v>45</v>
      </c>
    </row>
    <row r="38" spans="1:1" x14ac:dyDescent="0.25">
      <c r="A38" s="25" t="s">
        <v>46</v>
      </c>
    </row>
    <row r="39" spans="1:1" x14ac:dyDescent="0.25">
      <c r="A39" s="25" t="s">
        <v>47</v>
      </c>
    </row>
    <row r="40" spans="1:1" x14ac:dyDescent="0.25">
      <c r="A40" s="25" t="s">
        <v>48</v>
      </c>
    </row>
    <row r="41" spans="1:1" x14ac:dyDescent="0.25">
      <c r="A41" s="25" t="s">
        <v>49</v>
      </c>
    </row>
    <row r="42" spans="1:1" x14ac:dyDescent="0.25">
      <c r="A42" s="25" t="s">
        <v>50</v>
      </c>
    </row>
    <row r="43" spans="1:1" x14ac:dyDescent="0.25">
      <c r="A43" s="25" t="s">
        <v>51</v>
      </c>
    </row>
    <row r="44" spans="1:1" x14ac:dyDescent="0.25">
      <c r="A44" s="25" t="s">
        <v>52</v>
      </c>
    </row>
    <row r="45" spans="1:1" x14ac:dyDescent="0.25">
      <c r="A45" s="25" t="s">
        <v>53</v>
      </c>
    </row>
    <row r="46" spans="1:1" x14ac:dyDescent="0.25">
      <c r="A46" s="25" t="s">
        <v>54</v>
      </c>
    </row>
    <row r="47" spans="1:1" x14ac:dyDescent="0.25">
      <c r="A47" s="25" t="s">
        <v>55</v>
      </c>
    </row>
    <row r="48" spans="1:1" x14ac:dyDescent="0.25">
      <c r="A48" s="25" t="s">
        <v>56</v>
      </c>
    </row>
    <row r="49" spans="1:1" x14ac:dyDescent="0.25">
      <c r="A49" s="25" t="s">
        <v>57</v>
      </c>
    </row>
    <row r="50" spans="1:1" x14ac:dyDescent="0.25">
      <c r="A50" s="25" t="s">
        <v>58</v>
      </c>
    </row>
    <row r="51" spans="1:1" x14ac:dyDescent="0.25">
      <c r="A51" s="25" t="s">
        <v>59</v>
      </c>
    </row>
    <row r="52" spans="1:1" x14ac:dyDescent="0.25">
      <c r="A52" s="25" t="s">
        <v>60</v>
      </c>
    </row>
    <row r="53" spans="1:1" x14ac:dyDescent="0.25">
      <c r="A53" s="25" t="s">
        <v>61</v>
      </c>
    </row>
    <row r="54" spans="1:1" x14ac:dyDescent="0.25">
      <c r="A54" s="25" t="s">
        <v>62</v>
      </c>
    </row>
    <row r="55" spans="1:1" x14ac:dyDescent="0.25">
      <c r="A55" s="25" t="s">
        <v>63</v>
      </c>
    </row>
    <row r="56" spans="1:1" x14ac:dyDescent="0.25">
      <c r="A56" s="25" t="s">
        <v>64</v>
      </c>
    </row>
    <row r="57" spans="1:1" x14ac:dyDescent="0.25">
      <c r="A57" s="25" t="s">
        <v>65</v>
      </c>
    </row>
    <row r="58" spans="1:1" x14ac:dyDescent="0.25">
      <c r="A58" s="25" t="s">
        <v>66</v>
      </c>
    </row>
    <row r="59" spans="1:1" x14ac:dyDescent="0.25">
      <c r="A59" s="25" t="s">
        <v>67</v>
      </c>
    </row>
    <row r="60" spans="1:1" x14ac:dyDescent="0.25">
      <c r="A60" s="25" t="s">
        <v>68</v>
      </c>
    </row>
    <row r="61" spans="1:1" x14ac:dyDescent="0.25">
      <c r="A61" s="25" t="s">
        <v>69</v>
      </c>
    </row>
    <row r="62" spans="1:1" x14ac:dyDescent="0.25">
      <c r="A62" s="25" t="s">
        <v>70</v>
      </c>
    </row>
    <row r="63" spans="1:1" x14ac:dyDescent="0.25">
      <c r="A63" s="25" t="s">
        <v>71</v>
      </c>
    </row>
    <row r="64" spans="1:1" x14ac:dyDescent="0.25">
      <c r="A64" s="25" t="s">
        <v>72</v>
      </c>
    </row>
    <row r="65" spans="1:1" x14ac:dyDescent="0.25">
      <c r="A65" s="25" t="s">
        <v>73</v>
      </c>
    </row>
    <row r="66" spans="1:1" x14ac:dyDescent="0.25">
      <c r="A66" s="25" t="s">
        <v>74</v>
      </c>
    </row>
    <row r="67" spans="1:1" x14ac:dyDescent="0.25">
      <c r="A67" s="25" t="s">
        <v>75</v>
      </c>
    </row>
    <row r="68" spans="1:1" x14ac:dyDescent="0.25">
      <c r="A68" s="25" t="s">
        <v>76</v>
      </c>
    </row>
    <row r="69" spans="1:1" x14ac:dyDescent="0.25">
      <c r="A69" s="25" t="s">
        <v>77</v>
      </c>
    </row>
    <row r="70" spans="1:1" x14ac:dyDescent="0.25">
      <c r="A70" s="25" t="s">
        <v>78</v>
      </c>
    </row>
    <row r="71" spans="1:1" x14ac:dyDescent="0.25">
      <c r="A71" s="25" t="s">
        <v>79</v>
      </c>
    </row>
    <row r="72" spans="1:1" x14ac:dyDescent="0.25">
      <c r="A72" s="25" t="s">
        <v>123</v>
      </c>
    </row>
    <row r="73" spans="1:1" x14ac:dyDescent="0.25">
      <c r="A73" s="25" t="s">
        <v>81</v>
      </c>
    </row>
    <row r="74" spans="1:1" x14ac:dyDescent="0.25">
      <c r="A74" s="25" t="s">
        <v>82</v>
      </c>
    </row>
    <row r="75" spans="1:1" x14ac:dyDescent="0.25">
      <c r="A75" s="25" t="s">
        <v>124</v>
      </c>
    </row>
    <row r="76" spans="1:1" x14ac:dyDescent="0.25">
      <c r="A76" s="25" t="s">
        <v>125</v>
      </c>
    </row>
    <row r="77" spans="1:1" x14ac:dyDescent="0.25">
      <c r="A77" s="25" t="s">
        <v>83</v>
      </c>
    </row>
    <row r="78" spans="1:1" x14ac:dyDescent="0.25">
      <c r="A78" s="25" t="s">
        <v>84</v>
      </c>
    </row>
    <row r="79" spans="1:1" x14ac:dyDescent="0.25">
      <c r="A79" s="25" t="s">
        <v>85</v>
      </c>
    </row>
    <row r="80" spans="1:1" x14ac:dyDescent="0.25">
      <c r="A80" s="25" t="s">
        <v>86</v>
      </c>
    </row>
    <row r="81" spans="1:1" x14ac:dyDescent="0.25">
      <c r="A81" s="25" t="s">
        <v>87</v>
      </c>
    </row>
    <row r="82" spans="1:1" x14ac:dyDescent="0.25">
      <c r="A82" s="25" t="s">
        <v>88</v>
      </c>
    </row>
    <row r="83" spans="1:1" x14ac:dyDescent="0.25">
      <c r="A83" s="25" t="s">
        <v>89</v>
      </c>
    </row>
    <row r="84" spans="1:1" x14ac:dyDescent="0.25">
      <c r="A84" s="25" t="s">
        <v>90</v>
      </c>
    </row>
    <row r="85" spans="1:1" x14ac:dyDescent="0.25">
      <c r="A85" s="25" t="s">
        <v>91</v>
      </c>
    </row>
    <row r="86" spans="1:1" x14ac:dyDescent="0.25">
      <c r="A86" s="25" t="s">
        <v>92</v>
      </c>
    </row>
    <row r="87" spans="1:1" x14ac:dyDescent="0.25">
      <c r="A87" s="25" t="s">
        <v>93</v>
      </c>
    </row>
    <row r="88" spans="1:1" x14ac:dyDescent="0.25">
      <c r="A88" s="25" t="s">
        <v>94</v>
      </c>
    </row>
    <row r="89" spans="1:1" x14ac:dyDescent="0.25">
      <c r="A89" s="25" t="s">
        <v>95</v>
      </c>
    </row>
    <row r="90" spans="1:1" x14ac:dyDescent="0.25">
      <c r="A90" s="25" t="s">
        <v>96</v>
      </c>
    </row>
    <row r="91" spans="1:1" x14ac:dyDescent="0.25">
      <c r="A91" s="25" t="s">
        <v>97</v>
      </c>
    </row>
    <row r="92" spans="1:1" x14ac:dyDescent="0.25">
      <c r="A92" s="25" t="s">
        <v>98</v>
      </c>
    </row>
    <row r="93" spans="1:1" x14ac:dyDescent="0.25">
      <c r="A93" s="25" t="s">
        <v>99</v>
      </c>
    </row>
    <row r="94" spans="1:1" x14ac:dyDescent="0.25">
      <c r="A94" s="25" t="s">
        <v>100</v>
      </c>
    </row>
    <row r="95" spans="1:1" x14ac:dyDescent="0.25">
      <c r="A95" s="25" t="s">
        <v>102</v>
      </c>
    </row>
    <row r="96" spans="1:1" x14ac:dyDescent="0.25">
      <c r="A96" s="25" t="s">
        <v>103</v>
      </c>
    </row>
    <row r="97" spans="1:1" x14ac:dyDescent="0.25">
      <c r="A97" s="25" t="s">
        <v>104</v>
      </c>
    </row>
    <row r="98" spans="1:1" x14ac:dyDescent="0.25">
      <c r="A98" s="25" t="s">
        <v>105</v>
      </c>
    </row>
    <row r="99" spans="1:1" x14ac:dyDescent="0.25">
      <c r="A99" s="25" t="s">
        <v>106</v>
      </c>
    </row>
    <row r="100" spans="1:1" x14ac:dyDescent="0.25">
      <c r="A100" s="25" t="s">
        <v>107</v>
      </c>
    </row>
    <row r="101" spans="1:1" x14ac:dyDescent="0.25">
      <c r="A101" s="25" t="s">
        <v>108</v>
      </c>
    </row>
    <row r="102" spans="1:1" x14ac:dyDescent="0.25">
      <c r="A102" s="25" t="s">
        <v>109</v>
      </c>
    </row>
    <row r="103" spans="1:1" x14ac:dyDescent="0.25">
      <c r="A103" s="25" t="s">
        <v>110</v>
      </c>
    </row>
    <row r="104" spans="1:1" x14ac:dyDescent="0.25">
      <c r="A104" s="25" t="s">
        <v>111</v>
      </c>
    </row>
    <row r="105" spans="1:1" x14ac:dyDescent="0.25">
      <c r="A105" s="25" t="s">
        <v>112</v>
      </c>
    </row>
    <row r="106" spans="1:1" x14ac:dyDescent="0.25">
      <c r="A106" s="25" t="s">
        <v>113</v>
      </c>
    </row>
    <row r="107" spans="1:1" x14ac:dyDescent="0.25">
      <c r="A107" s="25" t="s">
        <v>114</v>
      </c>
    </row>
    <row r="108" spans="1:1" x14ac:dyDescent="0.25">
      <c r="A108" s="25" t="s">
        <v>115</v>
      </c>
    </row>
    <row r="109" spans="1:1" x14ac:dyDescent="0.25">
      <c r="A109" s="25" t="s">
        <v>126</v>
      </c>
    </row>
    <row r="110" spans="1:1" x14ac:dyDescent="0.25">
      <c r="A110" s="25" t="s">
        <v>127</v>
      </c>
    </row>
    <row r="111" spans="1:1" x14ac:dyDescent="0.25">
      <c r="A111" s="25" t="s">
        <v>128</v>
      </c>
    </row>
    <row r="112" spans="1:1" x14ac:dyDescent="0.25">
      <c r="A112" s="25" t="s">
        <v>129</v>
      </c>
    </row>
    <row r="113" spans="1:1" x14ac:dyDescent="0.25">
      <c r="A113" s="25" t="s">
        <v>130</v>
      </c>
    </row>
    <row r="114" spans="1:1" x14ac:dyDescent="0.25">
      <c r="A114" s="25" t="s">
        <v>131</v>
      </c>
    </row>
    <row r="115" spans="1:1" x14ac:dyDescent="0.25">
      <c r="A115" s="25" t="s">
        <v>132</v>
      </c>
    </row>
    <row r="116" spans="1:1" x14ac:dyDescent="0.25">
      <c r="A116" s="25" t="s">
        <v>116</v>
      </c>
    </row>
    <row r="117" spans="1:1" x14ac:dyDescent="0.25">
      <c r="A117" s="25" t="s">
        <v>117</v>
      </c>
    </row>
    <row r="118" spans="1:1" x14ac:dyDescent="0.25">
      <c r="A118" s="25" t="s">
        <v>118</v>
      </c>
    </row>
    <row r="119" spans="1:1" x14ac:dyDescent="0.25">
      <c r="A119" s="2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8E12-0204-479F-B30E-996839EBD2D0}">
  <dimension ref="A1:BO137"/>
  <sheetViews>
    <sheetView zoomScale="115" zoomScaleNormal="115" workbookViewId="0">
      <pane xSplit="1" ySplit="5" topLeftCell="B107" activePane="bottomRight" state="frozen"/>
      <selection pane="topRight" activeCell="B1" sqref="B1"/>
      <selection pane="bottomLeft" activeCell="A6" sqref="A6"/>
      <selection pane="bottomRight" sqref="A1:BM1"/>
    </sheetView>
  </sheetViews>
  <sheetFormatPr defaultRowHeight="15" x14ac:dyDescent="0.25"/>
  <cols>
    <col min="1" max="1" width="38.5703125" customWidth="1"/>
    <col min="2" max="2" width="11.140625" style="355" customWidth="1"/>
    <col min="3" max="5" width="10.28515625" customWidth="1"/>
    <col min="6" max="6" width="10.28515625" style="355" customWidth="1"/>
    <col min="7" max="7" width="10.28515625" customWidth="1"/>
    <col min="8" max="8" width="11.140625" customWidth="1"/>
    <col min="9" max="9" width="7.7109375" customWidth="1"/>
    <col min="10" max="10" width="11.140625" style="355" customWidth="1"/>
    <col min="11" max="11" width="7.7109375" customWidth="1"/>
    <col min="12" max="12" width="11.140625" style="355" customWidth="1"/>
    <col min="13" max="13" width="7.7109375" customWidth="1"/>
    <col min="14" max="16" width="10.28515625" hidden="1" customWidth="1"/>
    <col min="17" max="17" width="7.7109375" hidden="1" customWidth="1"/>
    <col min="18" max="18" width="10.28515625" hidden="1" customWidth="1"/>
    <col min="19" max="19" width="7.7109375" hidden="1" customWidth="1"/>
    <col min="20" max="20" width="11.140625" hidden="1" customWidth="1"/>
    <col min="21" max="21" width="7.7109375" hidden="1" customWidth="1"/>
    <col min="22" max="22" width="11.140625" hidden="1" customWidth="1"/>
    <col min="23" max="23" width="7.7109375" hidden="1" customWidth="1"/>
    <col min="24" max="24" width="10.28515625" hidden="1" customWidth="1"/>
    <col min="25" max="25" width="7.7109375" hidden="1" customWidth="1"/>
    <col min="26" max="26" width="11.140625" hidden="1" customWidth="1"/>
    <col min="27" max="27" width="7.7109375" hidden="1" customWidth="1"/>
    <col min="28" max="28" width="10.28515625" style="355" customWidth="1"/>
    <col min="29" max="29" width="10.28515625" customWidth="1"/>
    <col min="30" max="30" width="9.42578125" hidden="1" customWidth="1"/>
    <col min="31" max="32" width="10.28515625" hidden="1" customWidth="1"/>
    <col min="33" max="33" width="7.7109375" hidden="1" customWidth="1"/>
    <col min="34" max="34" width="11.140625" hidden="1" customWidth="1"/>
    <col min="35" max="35" width="7.7109375" hidden="1" customWidth="1"/>
    <col min="36" max="36" width="10.28515625" hidden="1" customWidth="1"/>
    <col min="37" max="37" width="7.7109375" hidden="1" customWidth="1"/>
    <col min="38" max="38" width="9.42578125" style="355" customWidth="1"/>
    <col min="39" max="39" width="10.28515625" customWidth="1"/>
    <col min="40" max="40" width="9.42578125" style="355" customWidth="1"/>
    <col min="41" max="41" width="9.42578125" customWidth="1"/>
    <col min="42" max="42" width="9.42578125" style="355" customWidth="1"/>
    <col min="43" max="43" width="9.42578125" customWidth="1"/>
    <col min="44" max="44" width="10.28515625" style="355" customWidth="1"/>
    <col min="45" max="45" width="7.7109375" customWidth="1"/>
    <col min="46" max="46" width="8.5703125" style="355" customWidth="1"/>
    <col min="47" max="47" width="7.7109375" customWidth="1"/>
    <col min="48" max="48" width="10.28515625" style="355" hidden="1" customWidth="1"/>
    <col min="49" max="49" width="7.7109375" hidden="1" customWidth="1"/>
    <col min="50" max="50" width="11.140625" customWidth="1"/>
    <col min="51" max="51" width="7.7109375" customWidth="1"/>
    <col min="52" max="53" width="9.42578125" customWidth="1"/>
    <col min="54" max="54" width="11.140625" hidden="1" customWidth="1"/>
    <col min="55" max="56" width="9.42578125" hidden="1" customWidth="1"/>
    <col min="57" max="57" width="7.7109375" hidden="1" customWidth="1"/>
    <col min="58" max="58" width="11.140625" hidden="1" customWidth="1"/>
    <col min="59" max="59" width="7.7109375" hidden="1" customWidth="1"/>
    <col min="60" max="60" width="10.28515625" hidden="1" customWidth="1"/>
    <col min="61" max="63" width="7.7109375" hidden="1" customWidth="1"/>
    <col min="64" max="65" width="12" customWidth="1"/>
  </cols>
  <sheetData>
    <row r="1" spans="1:65" ht="18" x14ac:dyDescent="0.25">
      <c r="A1" s="706" t="s">
        <v>0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7"/>
      <c r="AB1" s="707"/>
      <c r="AC1" s="707"/>
      <c r="AD1" s="707"/>
      <c r="AE1" s="707"/>
      <c r="AF1" s="707"/>
      <c r="AG1" s="707"/>
      <c r="AH1" s="707"/>
      <c r="AI1" s="707"/>
      <c r="AJ1" s="707"/>
      <c r="AK1" s="707"/>
      <c r="AL1" s="707"/>
      <c r="AM1" s="707"/>
      <c r="AN1" s="707"/>
      <c r="AO1" s="707"/>
      <c r="AP1" s="707"/>
      <c r="AQ1" s="707"/>
      <c r="AR1" s="707"/>
      <c r="AS1" s="707"/>
      <c r="AT1" s="707"/>
      <c r="AU1" s="707"/>
      <c r="AV1" s="707"/>
      <c r="AW1" s="707"/>
      <c r="AX1" s="707"/>
      <c r="AY1" s="707"/>
      <c r="AZ1" s="707"/>
      <c r="BA1" s="707"/>
      <c r="BB1" s="707"/>
      <c r="BC1" s="707"/>
      <c r="BD1" s="707"/>
      <c r="BE1" s="707"/>
      <c r="BF1" s="707"/>
      <c r="BG1" s="707"/>
      <c r="BH1" s="707"/>
      <c r="BI1" s="707"/>
      <c r="BJ1" s="707"/>
      <c r="BK1" s="707"/>
      <c r="BL1" s="707"/>
      <c r="BM1" s="707"/>
    </row>
    <row r="2" spans="1:65" ht="18" x14ac:dyDescent="0.25">
      <c r="A2" s="706" t="s">
        <v>688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  <c r="T2" s="707"/>
      <c r="U2" s="707"/>
      <c r="V2" s="707"/>
      <c r="W2" s="707"/>
      <c r="X2" s="707"/>
      <c r="Y2" s="707"/>
      <c r="Z2" s="707"/>
      <c r="AA2" s="707"/>
      <c r="AB2" s="707"/>
      <c r="AC2" s="707"/>
      <c r="AD2" s="707"/>
      <c r="AE2" s="707"/>
      <c r="AF2" s="707"/>
      <c r="AG2" s="707"/>
      <c r="AH2" s="707"/>
      <c r="AI2" s="707"/>
      <c r="AJ2" s="707"/>
      <c r="AK2" s="707"/>
      <c r="AL2" s="707"/>
      <c r="AM2" s="707"/>
      <c r="AN2" s="707"/>
      <c r="AO2" s="707"/>
      <c r="AP2" s="707"/>
      <c r="AQ2" s="707"/>
      <c r="AR2" s="707"/>
      <c r="AS2" s="707"/>
      <c r="AT2" s="707"/>
      <c r="AU2" s="707"/>
      <c r="AV2" s="707"/>
      <c r="AW2" s="707"/>
      <c r="AX2" s="707"/>
      <c r="AY2" s="707"/>
      <c r="AZ2" s="707"/>
      <c r="BA2" s="707"/>
      <c r="BB2" s="707"/>
      <c r="BC2" s="707"/>
      <c r="BD2" s="707"/>
      <c r="BE2" s="707"/>
      <c r="BF2" s="707"/>
      <c r="BG2" s="707"/>
      <c r="BH2" s="707"/>
      <c r="BI2" s="707"/>
      <c r="BJ2" s="707"/>
      <c r="BK2" s="707"/>
      <c r="BL2" s="707"/>
      <c r="BM2" s="707"/>
    </row>
    <row r="3" spans="1:65" x14ac:dyDescent="0.25">
      <c r="A3" s="708" t="s">
        <v>1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  <c r="AP3" s="707"/>
      <c r="AQ3" s="707"/>
      <c r="AR3" s="707"/>
      <c r="AS3" s="707"/>
      <c r="AT3" s="707"/>
      <c r="AU3" s="707"/>
      <c r="AV3" s="707"/>
      <c r="AW3" s="707"/>
      <c r="AX3" s="707"/>
      <c r="AY3" s="707"/>
      <c r="AZ3" s="707"/>
      <c r="BA3" s="707"/>
      <c r="BB3" s="707"/>
      <c r="BC3" s="707"/>
      <c r="BD3" s="707"/>
      <c r="BE3" s="707"/>
      <c r="BF3" s="707"/>
      <c r="BG3" s="707"/>
      <c r="BH3" s="707"/>
      <c r="BI3" s="707"/>
      <c r="BJ3" s="707"/>
      <c r="BK3" s="707"/>
      <c r="BL3" s="707"/>
      <c r="BM3" s="707"/>
    </row>
    <row r="5" spans="1:65" ht="30" customHeight="1" x14ac:dyDescent="0.25">
      <c r="A5" s="1"/>
      <c r="B5" s="709" t="s">
        <v>2</v>
      </c>
      <c r="C5" s="710"/>
      <c r="D5" s="709" t="s">
        <v>3</v>
      </c>
      <c r="E5" s="710"/>
      <c r="F5" s="709" t="s">
        <v>4</v>
      </c>
      <c r="G5" s="710"/>
      <c r="H5" s="709" t="s">
        <v>5</v>
      </c>
      <c r="I5" s="710"/>
      <c r="J5" s="709" t="s">
        <v>6</v>
      </c>
      <c r="K5" s="710"/>
      <c r="L5" s="709" t="s">
        <v>13</v>
      </c>
      <c r="M5" s="710"/>
      <c r="N5" s="709" t="s">
        <v>7</v>
      </c>
      <c r="O5" s="710"/>
      <c r="P5" s="709" t="s">
        <v>439</v>
      </c>
      <c r="Q5" s="710"/>
      <c r="R5" s="709" t="s">
        <v>689</v>
      </c>
      <c r="S5" s="710"/>
      <c r="T5" s="709" t="s">
        <v>442</v>
      </c>
      <c r="U5" s="710"/>
      <c r="V5" s="709" t="s">
        <v>690</v>
      </c>
      <c r="W5" s="710"/>
      <c r="X5" s="709" t="s">
        <v>691</v>
      </c>
      <c r="Y5" s="710"/>
      <c r="Z5" s="709" t="s">
        <v>692</v>
      </c>
      <c r="AA5" s="710"/>
      <c r="AB5" s="709" t="s">
        <v>693</v>
      </c>
      <c r="AC5" s="710"/>
      <c r="AD5" s="709" t="s">
        <v>8</v>
      </c>
      <c r="AE5" s="710"/>
      <c r="AF5" s="709" t="s">
        <v>694</v>
      </c>
      <c r="AG5" s="710"/>
      <c r="AH5" s="709" t="s">
        <v>695</v>
      </c>
      <c r="AI5" s="710"/>
      <c r="AJ5" s="709" t="s">
        <v>696</v>
      </c>
      <c r="AK5" s="710"/>
      <c r="AL5" s="709" t="s">
        <v>697</v>
      </c>
      <c r="AM5" s="710"/>
      <c r="AN5" s="709" t="s">
        <v>9</v>
      </c>
      <c r="AO5" s="710"/>
      <c r="AP5" s="709" t="s">
        <v>10</v>
      </c>
      <c r="AQ5" s="710"/>
      <c r="AR5" s="709" t="s">
        <v>11</v>
      </c>
      <c r="AS5" s="710"/>
      <c r="AT5" s="709" t="s">
        <v>14</v>
      </c>
      <c r="AU5" s="710"/>
      <c r="AV5" s="709" t="s">
        <v>698</v>
      </c>
      <c r="AW5" s="710"/>
      <c r="AX5" s="709" t="s">
        <v>12</v>
      </c>
      <c r="AY5" s="710"/>
      <c r="AZ5" s="709" t="s">
        <v>15</v>
      </c>
      <c r="BA5" s="710"/>
      <c r="BB5" s="709" t="s">
        <v>699</v>
      </c>
      <c r="BC5" s="710"/>
      <c r="BD5" s="709" t="s">
        <v>700</v>
      </c>
      <c r="BE5" s="710"/>
      <c r="BF5" s="709" t="s">
        <v>701</v>
      </c>
      <c r="BG5" s="710"/>
      <c r="BH5" s="709" t="s">
        <v>702</v>
      </c>
      <c r="BI5" s="710"/>
      <c r="BJ5" s="709" t="s">
        <v>703</v>
      </c>
      <c r="BK5" s="710"/>
      <c r="BL5" s="709" t="s">
        <v>16</v>
      </c>
      <c r="BM5" s="710"/>
    </row>
    <row r="6" spans="1:65" x14ac:dyDescent="0.25">
      <c r="A6" s="1"/>
      <c r="B6" s="351" t="s">
        <v>704</v>
      </c>
      <c r="C6" s="346" t="s">
        <v>119</v>
      </c>
      <c r="D6" s="346" t="s">
        <v>704</v>
      </c>
      <c r="E6" s="346" t="s">
        <v>119</v>
      </c>
      <c r="F6" s="351" t="s">
        <v>704</v>
      </c>
      <c r="G6" s="346" t="s">
        <v>119</v>
      </c>
      <c r="H6" s="346" t="s">
        <v>704</v>
      </c>
      <c r="I6" s="346" t="s">
        <v>119</v>
      </c>
      <c r="J6" s="351" t="s">
        <v>704</v>
      </c>
      <c r="K6" s="346" t="s">
        <v>119</v>
      </c>
      <c r="L6" s="351" t="s">
        <v>704</v>
      </c>
      <c r="M6" s="346" t="s">
        <v>119</v>
      </c>
      <c r="N6" s="346" t="s">
        <v>704</v>
      </c>
      <c r="O6" s="346" t="s">
        <v>119</v>
      </c>
      <c r="P6" s="346" t="s">
        <v>704</v>
      </c>
      <c r="Q6" s="346" t="s">
        <v>119</v>
      </c>
      <c r="R6" s="346" t="s">
        <v>704</v>
      </c>
      <c r="S6" s="346" t="s">
        <v>119</v>
      </c>
      <c r="T6" s="346" t="s">
        <v>704</v>
      </c>
      <c r="U6" s="346" t="s">
        <v>119</v>
      </c>
      <c r="V6" s="346" t="s">
        <v>704</v>
      </c>
      <c r="W6" s="346" t="s">
        <v>119</v>
      </c>
      <c r="X6" s="346" t="s">
        <v>704</v>
      </c>
      <c r="Y6" s="346" t="s">
        <v>119</v>
      </c>
      <c r="Z6" s="346" t="s">
        <v>704</v>
      </c>
      <c r="AA6" s="346" t="s">
        <v>119</v>
      </c>
      <c r="AB6" s="351" t="s">
        <v>704</v>
      </c>
      <c r="AC6" s="346" t="s">
        <v>119</v>
      </c>
      <c r="AD6" s="346" t="s">
        <v>704</v>
      </c>
      <c r="AE6" s="346" t="s">
        <v>119</v>
      </c>
      <c r="AF6" s="346" t="s">
        <v>704</v>
      </c>
      <c r="AG6" s="346" t="s">
        <v>119</v>
      </c>
      <c r="AH6" s="346" t="s">
        <v>704</v>
      </c>
      <c r="AI6" s="346" t="s">
        <v>119</v>
      </c>
      <c r="AJ6" s="346" t="s">
        <v>704</v>
      </c>
      <c r="AK6" s="346" t="s">
        <v>119</v>
      </c>
      <c r="AL6" s="351" t="s">
        <v>704</v>
      </c>
      <c r="AM6" s="346" t="s">
        <v>119</v>
      </c>
      <c r="AN6" s="351" t="s">
        <v>704</v>
      </c>
      <c r="AO6" s="346" t="s">
        <v>119</v>
      </c>
      <c r="AP6" s="351" t="s">
        <v>704</v>
      </c>
      <c r="AQ6" s="346" t="s">
        <v>119</v>
      </c>
      <c r="AR6" s="351" t="s">
        <v>704</v>
      </c>
      <c r="AS6" s="346" t="s">
        <v>119</v>
      </c>
      <c r="AT6" s="351" t="s">
        <v>704</v>
      </c>
      <c r="AU6" s="346" t="s">
        <v>119</v>
      </c>
      <c r="AV6" s="351" t="s">
        <v>704</v>
      </c>
      <c r="AW6" s="346" t="s">
        <v>119</v>
      </c>
      <c r="AX6" s="346" t="s">
        <v>704</v>
      </c>
      <c r="AY6" s="346" t="s">
        <v>119</v>
      </c>
      <c r="AZ6" s="346" t="s">
        <v>704</v>
      </c>
      <c r="BA6" s="346" t="s">
        <v>119</v>
      </c>
      <c r="BB6" s="346" t="s">
        <v>704</v>
      </c>
      <c r="BC6" s="346" t="s">
        <v>119</v>
      </c>
      <c r="BD6" s="346" t="s">
        <v>704</v>
      </c>
      <c r="BE6" s="346" t="s">
        <v>119</v>
      </c>
      <c r="BF6" s="346" t="s">
        <v>704</v>
      </c>
      <c r="BG6" s="346" t="s">
        <v>119</v>
      </c>
      <c r="BH6" s="346" t="s">
        <v>704</v>
      </c>
      <c r="BI6" s="346" t="s">
        <v>119</v>
      </c>
      <c r="BJ6" s="346" t="s">
        <v>704</v>
      </c>
      <c r="BK6" s="346" t="s">
        <v>119</v>
      </c>
      <c r="BL6" s="346" t="s">
        <v>704</v>
      </c>
      <c r="BM6" s="346" t="s">
        <v>119</v>
      </c>
    </row>
    <row r="7" spans="1:65" x14ac:dyDescent="0.25">
      <c r="A7" s="347" t="s">
        <v>18</v>
      </c>
      <c r="B7" s="352"/>
      <c r="C7" s="348"/>
      <c r="D7" s="348"/>
      <c r="E7" s="348"/>
      <c r="F7" s="352"/>
      <c r="G7" s="348"/>
      <c r="H7" s="348"/>
      <c r="I7" s="348"/>
      <c r="J7" s="352"/>
      <c r="K7" s="348"/>
      <c r="L7" s="352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52"/>
      <c r="AC7" s="348"/>
      <c r="AD7" s="348"/>
      <c r="AE7" s="348"/>
      <c r="AF7" s="348"/>
      <c r="AG7" s="348"/>
      <c r="AH7" s="348"/>
      <c r="AI7" s="348"/>
      <c r="AJ7" s="348"/>
      <c r="AK7" s="348"/>
      <c r="AL7" s="352"/>
      <c r="AM7" s="348"/>
      <c r="AN7" s="352"/>
      <c r="AO7" s="348"/>
      <c r="AP7" s="352"/>
      <c r="AQ7" s="348"/>
      <c r="AR7" s="352"/>
      <c r="AS7" s="348"/>
      <c r="AT7" s="352"/>
      <c r="AU7" s="348"/>
      <c r="AV7" s="352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  <c r="BM7" s="348"/>
    </row>
    <row r="8" spans="1:65" x14ac:dyDescent="0.25">
      <c r="A8" s="347" t="s">
        <v>19</v>
      </c>
      <c r="B8" s="352"/>
      <c r="C8" s="348"/>
      <c r="D8" s="348"/>
      <c r="E8" s="348"/>
      <c r="F8" s="352"/>
      <c r="G8" s="348"/>
      <c r="H8" s="348"/>
      <c r="I8" s="348"/>
      <c r="J8" s="352"/>
      <c r="K8" s="348"/>
      <c r="L8" s="352"/>
      <c r="M8" s="348"/>
      <c r="N8" s="349">
        <f>167750</f>
        <v>167750</v>
      </c>
      <c r="O8" s="349">
        <f>200000</f>
        <v>200000</v>
      </c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54">
        <f t="shared" ref="AB8:AC30" si="0">((((((N8)+(P8))+(R8))+(T8))+(V8))+(X8))+(Z8)</f>
        <v>167750</v>
      </c>
      <c r="AC8" s="349">
        <f t="shared" si="0"/>
        <v>200000</v>
      </c>
      <c r="AD8" s="349">
        <f>96750</f>
        <v>96750</v>
      </c>
      <c r="AE8" s="349">
        <f>125000</f>
        <v>125000</v>
      </c>
      <c r="AF8" s="348"/>
      <c r="AG8" s="348"/>
      <c r="AH8" s="348"/>
      <c r="AI8" s="348"/>
      <c r="AJ8" s="348"/>
      <c r="AK8" s="348"/>
      <c r="AL8" s="354">
        <f t="shared" ref="AL8:AM30" si="1">(((AD8)+(AF8))+(AH8))+(AJ8)</f>
        <v>96750</v>
      </c>
      <c r="AM8" s="349">
        <f t="shared" si="1"/>
        <v>125000</v>
      </c>
      <c r="AN8" s="352"/>
      <c r="AO8" s="348"/>
      <c r="AP8" s="352"/>
      <c r="AQ8" s="348"/>
      <c r="AR8" s="352"/>
      <c r="AS8" s="348"/>
      <c r="AT8" s="352"/>
      <c r="AU8" s="348"/>
      <c r="AV8" s="354">
        <f t="shared" ref="AV8:AW30" si="2">(AR8)+(AT8)</f>
        <v>0</v>
      </c>
      <c r="AW8" s="349">
        <f t="shared" si="2"/>
        <v>0</v>
      </c>
      <c r="AX8" s="348"/>
      <c r="AY8" s="348"/>
      <c r="AZ8" s="348"/>
      <c r="BA8" s="348"/>
      <c r="BB8" s="349">
        <f t="shared" ref="BB8:BC30" si="3">(AX8)+(AZ8)</f>
        <v>0</v>
      </c>
      <c r="BC8" s="349">
        <f t="shared" si="3"/>
        <v>0</v>
      </c>
      <c r="BD8" s="348"/>
      <c r="BE8" s="348"/>
      <c r="BF8" s="348"/>
      <c r="BG8" s="348"/>
      <c r="BH8" s="349">
        <f t="shared" ref="BH8:BI30" si="4">(BD8)+(BF8)</f>
        <v>0</v>
      </c>
      <c r="BI8" s="349">
        <f t="shared" si="4"/>
        <v>0</v>
      </c>
      <c r="BJ8" s="348"/>
      <c r="BK8" s="348"/>
      <c r="BL8" s="349">
        <f t="shared" ref="BL8:BL30" si="5">((((((((((((B8)+(D8))+(F8))+(H8))+(J8))+(AB8))+(AL8))+(AN8))+(AP8))+(AV8))+(BB8))+(BH8))+(BJ8)</f>
        <v>264500</v>
      </c>
      <c r="BM8" s="349">
        <f t="shared" ref="BM8:BM30" si="6">((((((((((((C8)+(E8))+(G8))+(I8))+(K8))+(AC8))+(AM8))+(AO8))+(AQ8))+(AW8))+(BC8))+(BI8))+(BK8)</f>
        <v>325000</v>
      </c>
    </row>
    <row r="9" spans="1:65" x14ac:dyDescent="0.25">
      <c r="A9" s="347" t="s">
        <v>21</v>
      </c>
      <c r="B9" s="352"/>
      <c r="C9" s="348"/>
      <c r="D9" s="348"/>
      <c r="E9" s="348"/>
      <c r="F9" s="352"/>
      <c r="G9" s="348"/>
      <c r="H9" s="348"/>
      <c r="I9" s="348"/>
      <c r="J9" s="352"/>
      <c r="K9" s="348"/>
      <c r="L9" s="352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54">
        <f t="shared" si="0"/>
        <v>0</v>
      </c>
      <c r="AC9" s="349">
        <f t="shared" si="0"/>
        <v>0</v>
      </c>
      <c r="AD9" s="348"/>
      <c r="AE9" s="348"/>
      <c r="AF9" s="348"/>
      <c r="AG9" s="348"/>
      <c r="AH9" s="348"/>
      <c r="AI9" s="348"/>
      <c r="AJ9" s="348"/>
      <c r="AK9" s="348"/>
      <c r="AL9" s="354">
        <f t="shared" si="1"/>
        <v>0</v>
      </c>
      <c r="AM9" s="349">
        <f t="shared" si="1"/>
        <v>0</v>
      </c>
      <c r="AN9" s="352"/>
      <c r="AO9" s="348"/>
      <c r="AP9" s="352"/>
      <c r="AQ9" s="348"/>
      <c r="AR9" s="352"/>
      <c r="AS9" s="348"/>
      <c r="AT9" s="352"/>
      <c r="AU9" s="348"/>
      <c r="AV9" s="354">
        <f t="shared" si="2"/>
        <v>0</v>
      </c>
      <c r="AW9" s="349">
        <f t="shared" si="2"/>
        <v>0</v>
      </c>
      <c r="AX9" s="348"/>
      <c r="AY9" s="348"/>
      <c r="AZ9" s="348"/>
      <c r="BA9" s="348"/>
      <c r="BB9" s="349">
        <f t="shared" si="3"/>
        <v>0</v>
      </c>
      <c r="BC9" s="349">
        <f t="shared" si="3"/>
        <v>0</v>
      </c>
      <c r="BD9" s="348"/>
      <c r="BE9" s="348"/>
      <c r="BF9" s="348"/>
      <c r="BG9" s="348"/>
      <c r="BH9" s="349">
        <f t="shared" si="4"/>
        <v>0</v>
      </c>
      <c r="BI9" s="349">
        <f t="shared" si="4"/>
        <v>0</v>
      </c>
      <c r="BJ9" s="348"/>
      <c r="BK9" s="348"/>
      <c r="BL9" s="349">
        <f t="shared" si="5"/>
        <v>0</v>
      </c>
      <c r="BM9" s="349">
        <f t="shared" si="6"/>
        <v>0</v>
      </c>
    </row>
    <row r="10" spans="1:65" x14ac:dyDescent="0.25">
      <c r="A10" s="347" t="s">
        <v>22</v>
      </c>
      <c r="B10" s="352"/>
      <c r="C10" s="348"/>
      <c r="D10" s="349">
        <f>285950</f>
        <v>285950</v>
      </c>
      <c r="E10" s="349">
        <f>225000</f>
        <v>225000</v>
      </c>
      <c r="F10" s="352"/>
      <c r="G10" s="348"/>
      <c r="H10" s="348"/>
      <c r="I10" s="348"/>
      <c r="J10" s="352"/>
      <c r="K10" s="348"/>
      <c r="L10" s="352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54">
        <f t="shared" si="0"/>
        <v>0</v>
      </c>
      <c r="AC10" s="349">
        <f t="shared" si="0"/>
        <v>0</v>
      </c>
      <c r="AD10" s="348"/>
      <c r="AE10" s="348"/>
      <c r="AF10" s="348"/>
      <c r="AG10" s="348"/>
      <c r="AH10" s="348"/>
      <c r="AI10" s="348"/>
      <c r="AJ10" s="348"/>
      <c r="AK10" s="348"/>
      <c r="AL10" s="354">
        <f t="shared" si="1"/>
        <v>0</v>
      </c>
      <c r="AM10" s="349">
        <f t="shared" si="1"/>
        <v>0</v>
      </c>
      <c r="AN10" s="352"/>
      <c r="AO10" s="348"/>
      <c r="AP10" s="352"/>
      <c r="AQ10" s="348"/>
      <c r="AR10" s="352"/>
      <c r="AS10" s="348"/>
      <c r="AT10" s="352"/>
      <c r="AU10" s="348"/>
      <c r="AV10" s="354">
        <f t="shared" si="2"/>
        <v>0</v>
      </c>
      <c r="AW10" s="349">
        <f t="shared" si="2"/>
        <v>0</v>
      </c>
      <c r="AX10" s="348"/>
      <c r="AY10" s="348"/>
      <c r="AZ10" s="348"/>
      <c r="BA10" s="348"/>
      <c r="BB10" s="349">
        <f t="shared" si="3"/>
        <v>0</v>
      </c>
      <c r="BC10" s="349">
        <f t="shared" si="3"/>
        <v>0</v>
      </c>
      <c r="BD10" s="348"/>
      <c r="BE10" s="348"/>
      <c r="BF10" s="348"/>
      <c r="BG10" s="348"/>
      <c r="BH10" s="349">
        <f t="shared" si="4"/>
        <v>0</v>
      </c>
      <c r="BI10" s="349">
        <f t="shared" si="4"/>
        <v>0</v>
      </c>
      <c r="BJ10" s="348"/>
      <c r="BK10" s="348"/>
      <c r="BL10" s="349">
        <f t="shared" si="5"/>
        <v>285950</v>
      </c>
      <c r="BM10" s="349">
        <f t="shared" si="6"/>
        <v>225000</v>
      </c>
    </row>
    <row r="11" spans="1:65" x14ac:dyDescent="0.25">
      <c r="A11" s="347" t="s">
        <v>23</v>
      </c>
      <c r="B11" s="352"/>
      <c r="C11" s="348"/>
      <c r="D11" s="349">
        <f>22500</f>
        <v>22500</v>
      </c>
      <c r="E11" s="348"/>
      <c r="F11" s="352"/>
      <c r="G11" s="348"/>
      <c r="H11" s="348"/>
      <c r="I11" s="348"/>
      <c r="J11" s="352"/>
      <c r="K11" s="348"/>
      <c r="L11" s="352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54">
        <f t="shared" si="0"/>
        <v>0</v>
      </c>
      <c r="AC11" s="349">
        <f t="shared" si="0"/>
        <v>0</v>
      </c>
      <c r="AD11" s="348"/>
      <c r="AE11" s="348"/>
      <c r="AF11" s="348"/>
      <c r="AG11" s="348"/>
      <c r="AH11" s="348"/>
      <c r="AI11" s="348"/>
      <c r="AJ11" s="348"/>
      <c r="AK11" s="348"/>
      <c r="AL11" s="354">
        <f t="shared" si="1"/>
        <v>0</v>
      </c>
      <c r="AM11" s="349">
        <f t="shared" si="1"/>
        <v>0</v>
      </c>
      <c r="AN11" s="352"/>
      <c r="AO11" s="348"/>
      <c r="AP11" s="352"/>
      <c r="AQ11" s="348"/>
      <c r="AR11" s="352"/>
      <c r="AS11" s="348"/>
      <c r="AT11" s="352"/>
      <c r="AU11" s="348"/>
      <c r="AV11" s="354">
        <f t="shared" si="2"/>
        <v>0</v>
      </c>
      <c r="AW11" s="349">
        <f t="shared" si="2"/>
        <v>0</v>
      </c>
      <c r="AX11" s="348"/>
      <c r="AY11" s="348"/>
      <c r="AZ11" s="348"/>
      <c r="BA11" s="348"/>
      <c r="BB11" s="349">
        <f t="shared" si="3"/>
        <v>0</v>
      </c>
      <c r="BC11" s="349">
        <f t="shared" si="3"/>
        <v>0</v>
      </c>
      <c r="BD11" s="348"/>
      <c r="BE11" s="348"/>
      <c r="BF11" s="348"/>
      <c r="BG11" s="348"/>
      <c r="BH11" s="349">
        <f t="shared" si="4"/>
        <v>0</v>
      </c>
      <c r="BI11" s="349">
        <f t="shared" si="4"/>
        <v>0</v>
      </c>
      <c r="BJ11" s="348"/>
      <c r="BK11" s="348"/>
      <c r="BL11" s="349">
        <f t="shared" si="5"/>
        <v>22500</v>
      </c>
      <c r="BM11" s="349">
        <f t="shared" si="6"/>
        <v>0</v>
      </c>
    </row>
    <row r="12" spans="1:65" x14ac:dyDescent="0.25">
      <c r="A12" s="347" t="s">
        <v>24</v>
      </c>
      <c r="B12" s="353">
        <f t="shared" ref="B12:AA12" si="7">((B9)+(B10))+(B11)</f>
        <v>0</v>
      </c>
      <c r="C12" s="350">
        <f t="shared" si="7"/>
        <v>0</v>
      </c>
      <c r="D12" s="350">
        <f t="shared" si="7"/>
        <v>308450</v>
      </c>
      <c r="E12" s="350">
        <f t="shared" si="7"/>
        <v>225000</v>
      </c>
      <c r="F12" s="353">
        <f t="shared" si="7"/>
        <v>0</v>
      </c>
      <c r="G12" s="350">
        <f t="shared" si="7"/>
        <v>0</v>
      </c>
      <c r="H12" s="350">
        <f t="shared" si="7"/>
        <v>0</v>
      </c>
      <c r="I12" s="350">
        <f t="shared" si="7"/>
        <v>0</v>
      </c>
      <c r="J12" s="353">
        <f t="shared" si="7"/>
        <v>0</v>
      </c>
      <c r="K12" s="350">
        <f t="shared" si="7"/>
        <v>0</v>
      </c>
      <c r="L12" s="353">
        <f t="shared" ref="L12" si="8">((L9)+(L10))+(L11)</f>
        <v>0</v>
      </c>
      <c r="M12" s="350">
        <f t="shared" ref="M12" si="9">((M9)+(M10))+(M11)</f>
        <v>0</v>
      </c>
      <c r="N12" s="350">
        <f t="shared" si="7"/>
        <v>0</v>
      </c>
      <c r="O12" s="350">
        <f t="shared" si="7"/>
        <v>0</v>
      </c>
      <c r="P12" s="350">
        <f t="shared" si="7"/>
        <v>0</v>
      </c>
      <c r="Q12" s="350">
        <f t="shared" si="7"/>
        <v>0</v>
      </c>
      <c r="R12" s="350">
        <f t="shared" si="7"/>
        <v>0</v>
      </c>
      <c r="S12" s="350">
        <f t="shared" si="7"/>
        <v>0</v>
      </c>
      <c r="T12" s="350">
        <f t="shared" si="7"/>
        <v>0</v>
      </c>
      <c r="U12" s="350">
        <f t="shared" si="7"/>
        <v>0</v>
      </c>
      <c r="V12" s="350">
        <f t="shared" si="7"/>
        <v>0</v>
      </c>
      <c r="W12" s="350">
        <f t="shared" si="7"/>
        <v>0</v>
      </c>
      <c r="X12" s="350">
        <f t="shared" si="7"/>
        <v>0</v>
      </c>
      <c r="Y12" s="350">
        <f t="shared" si="7"/>
        <v>0</v>
      </c>
      <c r="Z12" s="350">
        <f t="shared" si="7"/>
        <v>0</v>
      </c>
      <c r="AA12" s="350">
        <f t="shared" si="7"/>
        <v>0</v>
      </c>
      <c r="AB12" s="353">
        <f t="shared" si="0"/>
        <v>0</v>
      </c>
      <c r="AC12" s="350">
        <f t="shared" si="0"/>
        <v>0</v>
      </c>
      <c r="AD12" s="350">
        <f t="shared" ref="AD12:AK12" si="10">((AD9)+(AD10))+(AD11)</f>
        <v>0</v>
      </c>
      <c r="AE12" s="350">
        <f t="shared" si="10"/>
        <v>0</v>
      </c>
      <c r="AF12" s="350">
        <f t="shared" si="10"/>
        <v>0</v>
      </c>
      <c r="AG12" s="350">
        <f t="shared" si="10"/>
        <v>0</v>
      </c>
      <c r="AH12" s="350">
        <f t="shared" si="10"/>
        <v>0</v>
      </c>
      <c r="AI12" s="350">
        <f t="shared" si="10"/>
        <v>0</v>
      </c>
      <c r="AJ12" s="350">
        <f t="shared" si="10"/>
        <v>0</v>
      </c>
      <c r="AK12" s="350">
        <f t="shared" si="10"/>
        <v>0</v>
      </c>
      <c r="AL12" s="353">
        <f t="shared" si="1"/>
        <v>0</v>
      </c>
      <c r="AM12" s="350">
        <f t="shared" si="1"/>
        <v>0</v>
      </c>
      <c r="AN12" s="353">
        <f t="shared" ref="AN12:AU12" si="11">((AN9)+(AN10))+(AN11)</f>
        <v>0</v>
      </c>
      <c r="AO12" s="350">
        <f t="shared" si="11"/>
        <v>0</v>
      </c>
      <c r="AP12" s="353">
        <f t="shared" si="11"/>
        <v>0</v>
      </c>
      <c r="AQ12" s="350">
        <f t="shared" si="11"/>
        <v>0</v>
      </c>
      <c r="AR12" s="353">
        <f t="shared" si="11"/>
        <v>0</v>
      </c>
      <c r="AS12" s="350">
        <f t="shared" si="11"/>
        <v>0</v>
      </c>
      <c r="AT12" s="353">
        <f t="shared" si="11"/>
        <v>0</v>
      </c>
      <c r="AU12" s="350">
        <f t="shared" si="11"/>
        <v>0</v>
      </c>
      <c r="AV12" s="353">
        <f t="shared" si="2"/>
        <v>0</v>
      </c>
      <c r="AW12" s="350">
        <f t="shared" si="2"/>
        <v>0</v>
      </c>
      <c r="AX12" s="350">
        <f>((AX9)+(AX10))+(AX11)</f>
        <v>0</v>
      </c>
      <c r="AY12" s="350">
        <f>((AY9)+(AY10))+(AY11)</f>
        <v>0</v>
      </c>
      <c r="AZ12" s="350">
        <f>((AZ9)+(AZ10))+(AZ11)</f>
        <v>0</v>
      </c>
      <c r="BA12" s="350">
        <f>((BA9)+(BA10))+(BA11)</f>
        <v>0</v>
      </c>
      <c r="BB12" s="350">
        <f t="shared" si="3"/>
        <v>0</v>
      </c>
      <c r="BC12" s="350">
        <f t="shared" si="3"/>
        <v>0</v>
      </c>
      <c r="BD12" s="350">
        <f>((BD9)+(BD10))+(BD11)</f>
        <v>0</v>
      </c>
      <c r="BE12" s="350">
        <f>((BE9)+(BE10))+(BE11)</f>
        <v>0</v>
      </c>
      <c r="BF12" s="350">
        <f>((BF9)+(BF10))+(BF11)</f>
        <v>0</v>
      </c>
      <c r="BG12" s="350">
        <f>((BG9)+(BG10))+(BG11)</f>
        <v>0</v>
      </c>
      <c r="BH12" s="350">
        <f t="shared" si="4"/>
        <v>0</v>
      </c>
      <c r="BI12" s="350">
        <f t="shared" si="4"/>
        <v>0</v>
      </c>
      <c r="BJ12" s="350">
        <f>((BJ9)+(BJ10))+(BJ11)</f>
        <v>0</v>
      </c>
      <c r="BK12" s="350">
        <f>((BK9)+(BK10))+(BK11)</f>
        <v>0</v>
      </c>
      <c r="BL12" s="350">
        <f t="shared" si="5"/>
        <v>308450</v>
      </c>
      <c r="BM12" s="350">
        <f t="shared" si="6"/>
        <v>225000</v>
      </c>
    </row>
    <row r="13" spans="1:65" x14ac:dyDescent="0.25">
      <c r="A13" s="347" t="s">
        <v>25</v>
      </c>
      <c r="B13" s="352"/>
      <c r="C13" s="348"/>
      <c r="D13" s="348"/>
      <c r="E13" s="348"/>
      <c r="F13" s="354">
        <f>103540.41</f>
        <v>103540.41</v>
      </c>
      <c r="G13" s="349">
        <f>125000</f>
        <v>125000</v>
      </c>
      <c r="H13" s="348"/>
      <c r="I13" s="348"/>
      <c r="J13" s="352"/>
      <c r="K13" s="348"/>
      <c r="L13" s="352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54">
        <f t="shared" si="0"/>
        <v>0</v>
      </c>
      <c r="AC13" s="349">
        <f t="shared" si="0"/>
        <v>0</v>
      </c>
      <c r="AD13" s="348"/>
      <c r="AE13" s="348"/>
      <c r="AF13" s="348"/>
      <c r="AG13" s="348"/>
      <c r="AH13" s="348"/>
      <c r="AI13" s="348"/>
      <c r="AJ13" s="348"/>
      <c r="AK13" s="348"/>
      <c r="AL13" s="354">
        <f t="shared" si="1"/>
        <v>0</v>
      </c>
      <c r="AM13" s="349">
        <f t="shared" si="1"/>
        <v>0</v>
      </c>
      <c r="AN13" s="352"/>
      <c r="AO13" s="348"/>
      <c r="AP13" s="352"/>
      <c r="AQ13" s="348"/>
      <c r="AR13" s="352"/>
      <c r="AS13" s="348"/>
      <c r="AT13" s="352"/>
      <c r="AU13" s="348"/>
      <c r="AV13" s="354">
        <f t="shared" si="2"/>
        <v>0</v>
      </c>
      <c r="AW13" s="349">
        <f t="shared" si="2"/>
        <v>0</v>
      </c>
      <c r="AX13" s="348"/>
      <c r="AY13" s="348"/>
      <c r="AZ13" s="348"/>
      <c r="BA13" s="348"/>
      <c r="BB13" s="349">
        <f t="shared" si="3"/>
        <v>0</v>
      </c>
      <c r="BC13" s="349">
        <f t="shared" si="3"/>
        <v>0</v>
      </c>
      <c r="BD13" s="348"/>
      <c r="BE13" s="348"/>
      <c r="BF13" s="348"/>
      <c r="BG13" s="348"/>
      <c r="BH13" s="349">
        <f t="shared" si="4"/>
        <v>0</v>
      </c>
      <c r="BI13" s="349">
        <f t="shared" si="4"/>
        <v>0</v>
      </c>
      <c r="BJ13" s="348"/>
      <c r="BK13" s="348"/>
      <c r="BL13" s="349">
        <f t="shared" si="5"/>
        <v>103540.41</v>
      </c>
      <c r="BM13" s="349">
        <f t="shared" si="6"/>
        <v>125000</v>
      </c>
    </row>
    <row r="14" spans="1:65" x14ac:dyDescent="0.25">
      <c r="A14" s="347" t="s">
        <v>26</v>
      </c>
      <c r="B14" s="354">
        <f>33636.92</f>
        <v>33636.92</v>
      </c>
      <c r="C14" s="349">
        <f>33636.92</f>
        <v>33636.92</v>
      </c>
      <c r="D14" s="348"/>
      <c r="E14" s="348"/>
      <c r="F14" s="352"/>
      <c r="G14" s="348"/>
      <c r="H14" s="349">
        <f>100910.76</f>
        <v>100910.76</v>
      </c>
      <c r="I14" s="348"/>
      <c r="J14" s="352"/>
      <c r="K14" s="348"/>
      <c r="L14" s="352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54">
        <f t="shared" si="0"/>
        <v>0</v>
      </c>
      <c r="AC14" s="349">
        <f t="shared" si="0"/>
        <v>0</v>
      </c>
      <c r="AD14" s="348"/>
      <c r="AE14" s="348"/>
      <c r="AF14" s="348"/>
      <c r="AG14" s="348"/>
      <c r="AH14" s="348"/>
      <c r="AI14" s="348"/>
      <c r="AJ14" s="348"/>
      <c r="AK14" s="348"/>
      <c r="AL14" s="354">
        <f t="shared" si="1"/>
        <v>0</v>
      </c>
      <c r="AM14" s="349">
        <f t="shared" si="1"/>
        <v>0</v>
      </c>
      <c r="AN14" s="352"/>
      <c r="AO14" s="348"/>
      <c r="AP14" s="352"/>
      <c r="AQ14" s="348"/>
      <c r="AR14" s="352"/>
      <c r="AS14" s="348"/>
      <c r="AT14" s="352"/>
      <c r="AU14" s="348"/>
      <c r="AV14" s="354">
        <f t="shared" si="2"/>
        <v>0</v>
      </c>
      <c r="AW14" s="349">
        <f t="shared" si="2"/>
        <v>0</v>
      </c>
      <c r="AX14" s="348"/>
      <c r="AY14" s="348"/>
      <c r="AZ14" s="348"/>
      <c r="BA14" s="348"/>
      <c r="BB14" s="349">
        <f t="shared" si="3"/>
        <v>0</v>
      </c>
      <c r="BC14" s="349">
        <f t="shared" si="3"/>
        <v>0</v>
      </c>
      <c r="BD14" s="348"/>
      <c r="BE14" s="348"/>
      <c r="BF14" s="348"/>
      <c r="BG14" s="348"/>
      <c r="BH14" s="349">
        <f t="shared" si="4"/>
        <v>0</v>
      </c>
      <c r="BI14" s="349">
        <f t="shared" si="4"/>
        <v>0</v>
      </c>
      <c r="BJ14" s="348"/>
      <c r="BK14" s="348"/>
      <c r="BL14" s="349">
        <f t="shared" si="5"/>
        <v>134547.68</v>
      </c>
      <c r="BM14" s="349">
        <f t="shared" si="6"/>
        <v>33636.92</v>
      </c>
    </row>
    <row r="15" spans="1:65" x14ac:dyDescent="0.25">
      <c r="A15" s="347" t="s">
        <v>27</v>
      </c>
      <c r="B15" s="352"/>
      <c r="C15" s="348"/>
      <c r="D15" s="348"/>
      <c r="E15" s="348"/>
      <c r="F15" s="352"/>
      <c r="G15" s="348"/>
      <c r="H15" s="348"/>
      <c r="I15" s="348"/>
      <c r="J15" s="352"/>
      <c r="K15" s="348"/>
      <c r="L15" s="352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54">
        <f t="shared" si="0"/>
        <v>0</v>
      </c>
      <c r="AC15" s="349">
        <f t="shared" si="0"/>
        <v>0</v>
      </c>
      <c r="AD15" s="348"/>
      <c r="AE15" s="348"/>
      <c r="AF15" s="348"/>
      <c r="AG15" s="348"/>
      <c r="AH15" s="348"/>
      <c r="AI15" s="348"/>
      <c r="AJ15" s="348"/>
      <c r="AK15" s="348"/>
      <c r="AL15" s="354">
        <f t="shared" si="1"/>
        <v>0</v>
      </c>
      <c r="AM15" s="349">
        <f t="shared" si="1"/>
        <v>0</v>
      </c>
      <c r="AN15" s="354">
        <f>63523.65</f>
        <v>63523.65</v>
      </c>
      <c r="AO15" s="349">
        <f>70088.63</f>
        <v>70088.63</v>
      </c>
      <c r="AP15" s="354">
        <f>69300</f>
        <v>69300</v>
      </c>
      <c r="AQ15" s="349">
        <f>69300</f>
        <v>69300</v>
      </c>
      <c r="AR15" s="354">
        <f>1950.66</f>
        <v>1950.66</v>
      </c>
      <c r="AS15" s="348"/>
      <c r="AT15" s="352"/>
      <c r="AU15" s="348"/>
      <c r="AV15" s="354">
        <f t="shared" si="2"/>
        <v>1950.66</v>
      </c>
      <c r="AW15" s="349">
        <f t="shared" si="2"/>
        <v>0</v>
      </c>
      <c r="AX15" s="349">
        <f>2890.65</f>
        <v>2890.65</v>
      </c>
      <c r="AY15" s="348"/>
      <c r="AZ15" s="349">
        <f>25862.19</f>
        <v>25862.19</v>
      </c>
      <c r="BA15" s="349">
        <f>40000</f>
        <v>40000</v>
      </c>
      <c r="BB15" s="349">
        <f t="shared" si="3"/>
        <v>28752.84</v>
      </c>
      <c r="BC15" s="349">
        <f t="shared" si="3"/>
        <v>40000</v>
      </c>
      <c r="BD15" s="348"/>
      <c r="BE15" s="348"/>
      <c r="BF15" s="348"/>
      <c r="BG15" s="348"/>
      <c r="BH15" s="349">
        <f t="shared" si="4"/>
        <v>0</v>
      </c>
      <c r="BI15" s="349">
        <f t="shared" si="4"/>
        <v>0</v>
      </c>
      <c r="BJ15" s="348"/>
      <c r="BK15" s="348"/>
      <c r="BL15" s="349">
        <f t="shared" si="5"/>
        <v>163527.15</v>
      </c>
      <c r="BM15" s="349">
        <f t="shared" si="6"/>
        <v>179388.63</v>
      </c>
    </row>
    <row r="16" spans="1:65" x14ac:dyDescent="0.25">
      <c r="A16" s="347" t="s">
        <v>28</v>
      </c>
      <c r="B16" s="352"/>
      <c r="C16" s="348"/>
      <c r="D16" s="348"/>
      <c r="E16" s="348"/>
      <c r="F16" s="352"/>
      <c r="G16" s="348"/>
      <c r="H16" s="348"/>
      <c r="I16" s="348"/>
      <c r="J16" s="352"/>
      <c r="K16" s="348"/>
      <c r="L16" s="352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54">
        <f t="shared" si="0"/>
        <v>0</v>
      </c>
      <c r="AC16" s="349">
        <f t="shared" si="0"/>
        <v>0</v>
      </c>
      <c r="AD16" s="348"/>
      <c r="AE16" s="348"/>
      <c r="AF16" s="348"/>
      <c r="AG16" s="348"/>
      <c r="AH16" s="348"/>
      <c r="AI16" s="348"/>
      <c r="AJ16" s="348"/>
      <c r="AK16" s="348"/>
      <c r="AL16" s="354">
        <f t="shared" si="1"/>
        <v>0</v>
      </c>
      <c r="AM16" s="349">
        <f t="shared" si="1"/>
        <v>0</v>
      </c>
      <c r="AN16" s="352"/>
      <c r="AO16" s="348"/>
      <c r="AP16" s="352"/>
      <c r="AQ16" s="348"/>
      <c r="AR16" s="352"/>
      <c r="AS16" s="348"/>
      <c r="AT16" s="354">
        <f>3786.01</f>
        <v>3786.01</v>
      </c>
      <c r="AU16" s="348"/>
      <c r="AV16" s="354">
        <f t="shared" si="2"/>
        <v>3786.01</v>
      </c>
      <c r="AW16" s="349">
        <f t="shared" si="2"/>
        <v>0</v>
      </c>
      <c r="AX16" s="348"/>
      <c r="AY16" s="348"/>
      <c r="AZ16" s="348"/>
      <c r="BA16" s="348"/>
      <c r="BB16" s="349">
        <f t="shared" si="3"/>
        <v>0</v>
      </c>
      <c r="BC16" s="349">
        <f t="shared" si="3"/>
        <v>0</v>
      </c>
      <c r="BD16" s="348"/>
      <c r="BE16" s="348"/>
      <c r="BF16" s="348"/>
      <c r="BG16" s="348"/>
      <c r="BH16" s="349">
        <f t="shared" si="4"/>
        <v>0</v>
      </c>
      <c r="BI16" s="349">
        <f t="shared" si="4"/>
        <v>0</v>
      </c>
      <c r="BJ16" s="348"/>
      <c r="BK16" s="348"/>
      <c r="BL16" s="349">
        <f t="shared" si="5"/>
        <v>3786.01</v>
      </c>
      <c r="BM16" s="349">
        <f t="shared" si="6"/>
        <v>0</v>
      </c>
    </row>
    <row r="17" spans="1:67" x14ac:dyDescent="0.25">
      <c r="A17" s="347" t="s">
        <v>705</v>
      </c>
      <c r="B17" s="352"/>
      <c r="C17" s="348"/>
      <c r="D17" s="348"/>
      <c r="E17" s="348"/>
      <c r="F17" s="352"/>
      <c r="G17" s="348"/>
      <c r="H17" s="348"/>
      <c r="I17" s="348"/>
      <c r="J17" s="352"/>
      <c r="K17" s="348"/>
      <c r="L17" s="352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54">
        <f t="shared" si="0"/>
        <v>0</v>
      </c>
      <c r="AC17" s="349">
        <f t="shared" si="0"/>
        <v>0</v>
      </c>
      <c r="AD17" s="348"/>
      <c r="AE17" s="348"/>
      <c r="AF17" s="348"/>
      <c r="AG17" s="348"/>
      <c r="AH17" s="348"/>
      <c r="AI17" s="348"/>
      <c r="AJ17" s="348"/>
      <c r="AK17" s="348"/>
      <c r="AL17" s="354">
        <f t="shared" si="1"/>
        <v>0</v>
      </c>
      <c r="AM17" s="349">
        <f t="shared" si="1"/>
        <v>0</v>
      </c>
      <c r="AN17" s="352"/>
      <c r="AO17" s="348"/>
      <c r="AP17" s="352"/>
      <c r="AQ17" s="348"/>
      <c r="AR17" s="352"/>
      <c r="AS17" s="348"/>
      <c r="AT17" s="352"/>
      <c r="AU17" s="348"/>
      <c r="AV17" s="354">
        <f t="shared" si="2"/>
        <v>0</v>
      </c>
      <c r="AW17" s="349">
        <f t="shared" si="2"/>
        <v>0</v>
      </c>
      <c r="AX17" s="348"/>
      <c r="AY17" s="348"/>
      <c r="AZ17" s="348"/>
      <c r="BA17" s="348"/>
      <c r="BB17" s="349">
        <f t="shared" si="3"/>
        <v>0</v>
      </c>
      <c r="BC17" s="349">
        <f t="shared" si="3"/>
        <v>0</v>
      </c>
      <c r="BD17" s="349">
        <f>17569.71</f>
        <v>17569.71</v>
      </c>
      <c r="BE17" s="348"/>
      <c r="BF17" s="348"/>
      <c r="BG17" s="348"/>
      <c r="BH17" s="349">
        <f t="shared" si="4"/>
        <v>17569.71</v>
      </c>
      <c r="BI17" s="349">
        <f t="shared" si="4"/>
        <v>0</v>
      </c>
      <c r="BJ17" s="348"/>
      <c r="BK17" s="348"/>
      <c r="BL17" s="349">
        <f t="shared" si="5"/>
        <v>17569.71</v>
      </c>
      <c r="BM17" s="349">
        <f t="shared" si="6"/>
        <v>0</v>
      </c>
    </row>
    <row r="18" spans="1:67" x14ac:dyDescent="0.25">
      <c r="A18" s="347" t="s">
        <v>29</v>
      </c>
      <c r="B18" s="354">
        <f>42739</f>
        <v>42739</v>
      </c>
      <c r="C18" s="349">
        <f>23200.5</f>
        <v>23200.5</v>
      </c>
      <c r="D18" s="348"/>
      <c r="E18" s="348"/>
      <c r="F18" s="352"/>
      <c r="G18" s="348"/>
      <c r="H18" s="348"/>
      <c r="I18" s="348"/>
      <c r="J18" s="352"/>
      <c r="K18" s="348"/>
      <c r="L18" s="352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54">
        <f t="shared" si="0"/>
        <v>0</v>
      </c>
      <c r="AC18" s="349">
        <f t="shared" si="0"/>
        <v>0</v>
      </c>
      <c r="AD18" s="348"/>
      <c r="AE18" s="348"/>
      <c r="AF18" s="348"/>
      <c r="AG18" s="348"/>
      <c r="AH18" s="348"/>
      <c r="AI18" s="348"/>
      <c r="AJ18" s="348"/>
      <c r="AK18" s="348"/>
      <c r="AL18" s="354">
        <f t="shared" si="1"/>
        <v>0</v>
      </c>
      <c r="AM18" s="349">
        <f t="shared" si="1"/>
        <v>0</v>
      </c>
      <c r="AN18" s="352"/>
      <c r="AO18" s="348"/>
      <c r="AP18" s="352"/>
      <c r="AQ18" s="348"/>
      <c r="AR18" s="352"/>
      <c r="AS18" s="348"/>
      <c r="AT18" s="352"/>
      <c r="AU18" s="348"/>
      <c r="AV18" s="354">
        <f t="shared" si="2"/>
        <v>0</v>
      </c>
      <c r="AW18" s="349">
        <f t="shared" si="2"/>
        <v>0</v>
      </c>
      <c r="AX18" s="348"/>
      <c r="AY18" s="348"/>
      <c r="AZ18" s="348"/>
      <c r="BA18" s="348"/>
      <c r="BB18" s="349">
        <f t="shared" si="3"/>
        <v>0</v>
      </c>
      <c r="BC18" s="349">
        <f t="shared" si="3"/>
        <v>0</v>
      </c>
      <c r="BD18" s="348"/>
      <c r="BE18" s="348"/>
      <c r="BF18" s="348"/>
      <c r="BG18" s="348"/>
      <c r="BH18" s="349">
        <f t="shared" si="4"/>
        <v>0</v>
      </c>
      <c r="BI18" s="349">
        <f t="shared" si="4"/>
        <v>0</v>
      </c>
      <c r="BJ18" s="348"/>
      <c r="BK18" s="348"/>
      <c r="BL18" s="349">
        <f t="shared" si="5"/>
        <v>42739</v>
      </c>
      <c r="BM18" s="349">
        <f t="shared" si="6"/>
        <v>23200.5</v>
      </c>
    </row>
    <row r="19" spans="1:67" x14ac:dyDescent="0.25">
      <c r="A19" s="347" t="s">
        <v>31</v>
      </c>
      <c r="B19" s="354">
        <f>1800.26</f>
        <v>1800.26</v>
      </c>
      <c r="C19" s="348"/>
      <c r="D19" s="348"/>
      <c r="E19" s="348"/>
      <c r="F19" s="352"/>
      <c r="G19" s="348"/>
      <c r="H19" s="348"/>
      <c r="I19" s="348"/>
      <c r="J19" s="352"/>
      <c r="K19" s="348"/>
      <c r="L19" s="352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54">
        <f t="shared" si="0"/>
        <v>0</v>
      </c>
      <c r="AC19" s="349">
        <f t="shared" si="0"/>
        <v>0</v>
      </c>
      <c r="AD19" s="348"/>
      <c r="AE19" s="348"/>
      <c r="AF19" s="348"/>
      <c r="AG19" s="348"/>
      <c r="AH19" s="348"/>
      <c r="AI19" s="348"/>
      <c r="AJ19" s="348"/>
      <c r="AK19" s="348"/>
      <c r="AL19" s="354">
        <f t="shared" si="1"/>
        <v>0</v>
      </c>
      <c r="AM19" s="349">
        <f t="shared" si="1"/>
        <v>0</v>
      </c>
      <c r="AN19" s="352"/>
      <c r="AO19" s="348"/>
      <c r="AP19" s="352"/>
      <c r="AQ19" s="348"/>
      <c r="AR19" s="352"/>
      <c r="AS19" s="348"/>
      <c r="AT19" s="352"/>
      <c r="AU19" s="348"/>
      <c r="AV19" s="354">
        <f t="shared" si="2"/>
        <v>0</v>
      </c>
      <c r="AW19" s="349">
        <f t="shared" si="2"/>
        <v>0</v>
      </c>
      <c r="AX19" s="348"/>
      <c r="AY19" s="348"/>
      <c r="AZ19" s="349">
        <f>656</f>
        <v>656</v>
      </c>
      <c r="BA19" s="348"/>
      <c r="BB19" s="349">
        <f t="shared" si="3"/>
        <v>656</v>
      </c>
      <c r="BC19" s="349">
        <f t="shared" si="3"/>
        <v>0</v>
      </c>
      <c r="BD19" s="349">
        <f>637.46</f>
        <v>637.46</v>
      </c>
      <c r="BE19" s="348"/>
      <c r="BF19" s="348"/>
      <c r="BG19" s="348"/>
      <c r="BH19" s="349">
        <f t="shared" si="4"/>
        <v>637.46</v>
      </c>
      <c r="BI19" s="349">
        <f t="shared" si="4"/>
        <v>0</v>
      </c>
      <c r="BJ19" s="348"/>
      <c r="BK19" s="348"/>
      <c r="BL19" s="349">
        <f t="shared" si="5"/>
        <v>3093.7200000000003</v>
      </c>
      <c r="BM19" s="349">
        <f t="shared" si="6"/>
        <v>0</v>
      </c>
    </row>
    <row r="20" spans="1:67" x14ac:dyDescent="0.25">
      <c r="A20" s="347" t="s">
        <v>32</v>
      </c>
      <c r="B20" s="352"/>
      <c r="C20" s="348"/>
      <c r="D20" s="348"/>
      <c r="E20" s="348"/>
      <c r="F20" s="352"/>
      <c r="G20" s="348"/>
      <c r="H20" s="348"/>
      <c r="I20" s="348"/>
      <c r="J20" s="352"/>
      <c r="K20" s="348"/>
      <c r="L20" s="352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54">
        <f t="shared" si="0"/>
        <v>0</v>
      </c>
      <c r="AC20" s="349">
        <f t="shared" si="0"/>
        <v>0</v>
      </c>
      <c r="AD20" s="348"/>
      <c r="AE20" s="348"/>
      <c r="AF20" s="348"/>
      <c r="AG20" s="348"/>
      <c r="AH20" s="348"/>
      <c r="AI20" s="348"/>
      <c r="AJ20" s="348"/>
      <c r="AK20" s="348"/>
      <c r="AL20" s="354">
        <f t="shared" si="1"/>
        <v>0</v>
      </c>
      <c r="AM20" s="349">
        <f t="shared" si="1"/>
        <v>0</v>
      </c>
      <c r="AN20" s="352"/>
      <c r="AO20" s="348"/>
      <c r="AP20" s="352"/>
      <c r="AQ20" s="348"/>
      <c r="AR20" s="352"/>
      <c r="AS20" s="348"/>
      <c r="AT20" s="352"/>
      <c r="AU20" s="348"/>
      <c r="AV20" s="354">
        <f t="shared" si="2"/>
        <v>0</v>
      </c>
      <c r="AW20" s="349">
        <f t="shared" si="2"/>
        <v>0</v>
      </c>
      <c r="AX20" s="348"/>
      <c r="AY20" s="348"/>
      <c r="AZ20" s="348"/>
      <c r="BA20" s="348"/>
      <c r="BB20" s="349">
        <f t="shared" si="3"/>
        <v>0</v>
      </c>
      <c r="BC20" s="349">
        <f t="shared" si="3"/>
        <v>0</v>
      </c>
      <c r="BD20" s="349">
        <f>97.7</f>
        <v>97.7</v>
      </c>
      <c r="BE20" s="348"/>
      <c r="BF20" s="348"/>
      <c r="BG20" s="348"/>
      <c r="BH20" s="349">
        <f t="shared" si="4"/>
        <v>97.7</v>
      </c>
      <c r="BI20" s="349">
        <f t="shared" si="4"/>
        <v>0</v>
      </c>
      <c r="BJ20" s="348"/>
      <c r="BK20" s="348"/>
      <c r="BL20" s="349">
        <f t="shared" si="5"/>
        <v>97.7</v>
      </c>
      <c r="BM20" s="349">
        <f t="shared" si="6"/>
        <v>0</v>
      </c>
    </row>
    <row r="21" spans="1:67" x14ac:dyDescent="0.25">
      <c r="A21" s="347" t="s">
        <v>33</v>
      </c>
      <c r="B21" s="353">
        <f t="shared" ref="B21:AA21" si="12">(B19)+(B20)</f>
        <v>1800.26</v>
      </c>
      <c r="C21" s="350">
        <f t="shared" si="12"/>
        <v>0</v>
      </c>
      <c r="D21" s="350">
        <f t="shared" si="12"/>
        <v>0</v>
      </c>
      <c r="E21" s="350">
        <f t="shared" si="12"/>
        <v>0</v>
      </c>
      <c r="F21" s="353">
        <f t="shared" si="12"/>
        <v>0</v>
      </c>
      <c r="G21" s="350">
        <f t="shared" si="12"/>
        <v>0</v>
      </c>
      <c r="H21" s="350">
        <f t="shared" si="12"/>
        <v>0</v>
      </c>
      <c r="I21" s="350">
        <f t="shared" si="12"/>
        <v>0</v>
      </c>
      <c r="J21" s="353">
        <f t="shared" si="12"/>
        <v>0</v>
      </c>
      <c r="K21" s="350">
        <f t="shared" si="12"/>
        <v>0</v>
      </c>
      <c r="L21" s="353">
        <f t="shared" ref="L21" si="13">(L19)+(L20)</f>
        <v>0</v>
      </c>
      <c r="M21" s="350">
        <f t="shared" ref="M21" si="14">(M19)+(M20)</f>
        <v>0</v>
      </c>
      <c r="N21" s="350">
        <f t="shared" si="12"/>
        <v>0</v>
      </c>
      <c r="O21" s="350">
        <f t="shared" si="12"/>
        <v>0</v>
      </c>
      <c r="P21" s="350">
        <f t="shared" si="12"/>
        <v>0</v>
      </c>
      <c r="Q21" s="350">
        <f t="shared" si="12"/>
        <v>0</v>
      </c>
      <c r="R21" s="350">
        <f t="shared" si="12"/>
        <v>0</v>
      </c>
      <c r="S21" s="350">
        <f t="shared" si="12"/>
        <v>0</v>
      </c>
      <c r="T21" s="350">
        <f t="shared" si="12"/>
        <v>0</v>
      </c>
      <c r="U21" s="350">
        <f t="shared" si="12"/>
        <v>0</v>
      </c>
      <c r="V21" s="350">
        <f t="shared" si="12"/>
        <v>0</v>
      </c>
      <c r="W21" s="350">
        <f t="shared" si="12"/>
        <v>0</v>
      </c>
      <c r="X21" s="350">
        <f t="shared" si="12"/>
        <v>0</v>
      </c>
      <c r="Y21" s="350">
        <f t="shared" si="12"/>
        <v>0</v>
      </c>
      <c r="Z21" s="350">
        <f t="shared" si="12"/>
        <v>0</v>
      </c>
      <c r="AA21" s="350">
        <f t="shared" si="12"/>
        <v>0</v>
      </c>
      <c r="AB21" s="353">
        <f t="shared" si="0"/>
        <v>0</v>
      </c>
      <c r="AC21" s="350">
        <f t="shared" si="0"/>
        <v>0</v>
      </c>
      <c r="AD21" s="350">
        <f t="shared" ref="AD21:AK21" si="15">(AD19)+(AD20)</f>
        <v>0</v>
      </c>
      <c r="AE21" s="350">
        <f t="shared" si="15"/>
        <v>0</v>
      </c>
      <c r="AF21" s="350">
        <f t="shared" si="15"/>
        <v>0</v>
      </c>
      <c r="AG21" s="350">
        <f t="shared" si="15"/>
        <v>0</v>
      </c>
      <c r="AH21" s="350">
        <f t="shared" si="15"/>
        <v>0</v>
      </c>
      <c r="AI21" s="350">
        <f t="shared" si="15"/>
        <v>0</v>
      </c>
      <c r="AJ21" s="350">
        <f t="shared" si="15"/>
        <v>0</v>
      </c>
      <c r="AK21" s="350">
        <f t="shared" si="15"/>
        <v>0</v>
      </c>
      <c r="AL21" s="353">
        <f t="shared" si="1"/>
        <v>0</v>
      </c>
      <c r="AM21" s="350">
        <f t="shared" si="1"/>
        <v>0</v>
      </c>
      <c r="AN21" s="353">
        <f t="shared" ref="AN21:AU21" si="16">(AN19)+(AN20)</f>
        <v>0</v>
      </c>
      <c r="AO21" s="350">
        <f t="shared" si="16"/>
        <v>0</v>
      </c>
      <c r="AP21" s="353">
        <f t="shared" si="16"/>
        <v>0</v>
      </c>
      <c r="AQ21" s="350">
        <f t="shared" si="16"/>
        <v>0</v>
      </c>
      <c r="AR21" s="353">
        <f t="shared" si="16"/>
        <v>0</v>
      </c>
      <c r="AS21" s="350">
        <f t="shared" si="16"/>
        <v>0</v>
      </c>
      <c r="AT21" s="353">
        <f t="shared" si="16"/>
        <v>0</v>
      </c>
      <c r="AU21" s="350">
        <f t="shared" si="16"/>
        <v>0</v>
      </c>
      <c r="AV21" s="353">
        <f t="shared" si="2"/>
        <v>0</v>
      </c>
      <c r="AW21" s="350">
        <f t="shared" si="2"/>
        <v>0</v>
      </c>
      <c r="AX21" s="350">
        <f>(AX19)+(AX20)</f>
        <v>0</v>
      </c>
      <c r="AY21" s="350">
        <f>(AY19)+(AY20)</f>
        <v>0</v>
      </c>
      <c r="AZ21" s="350">
        <f>(AZ19)+(AZ20)</f>
        <v>656</v>
      </c>
      <c r="BA21" s="350">
        <f>(BA19)+(BA20)</f>
        <v>0</v>
      </c>
      <c r="BB21" s="350">
        <f t="shared" si="3"/>
        <v>656</v>
      </c>
      <c r="BC21" s="350">
        <f t="shared" si="3"/>
        <v>0</v>
      </c>
      <c r="BD21" s="350">
        <f>(BD19)+(BD20)</f>
        <v>735.16000000000008</v>
      </c>
      <c r="BE21" s="350">
        <f>(BE19)+(BE20)</f>
        <v>0</v>
      </c>
      <c r="BF21" s="350">
        <f>(BF19)+(BF20)</f>
        <v>0</v>
      </c>
      <c r="BG21" s="350">
        <f>(BG19)+(BG20)</f>
        <v>0</v>
      </c>
      <c r="BH21" s="350">
        <f t="shared" si="4"/>
        <v>735.16000000000008</v>
      </c>
      <c r="BI21" s="350">
        <f t="shared" si="4"/>
        <v>0</v>
      </c>
      <c r="BJ21" s="350">
        <f>(BJ19)+(BJ20)</f>
        <v>0</v>
      </c>
      <c r="BK21" s="350">
        <f>(BK19)+(BK20)</f>
        <v>0</v>
      </c>
      <c r="BL21" s="350">
        <f t="shared" si="5"/>
        <v>3191.42</v>
      </c>
      <c r="BM21" s="350">
        <f t="shared" si="6"/>
        <v>0</v>
      </c>
    </row>
    <row r="22" spans="1:67" x14ac:dyDescent="0.25">
      <c r="A22" s="347" t="s">
        <v>35</v>
      </c>
      <c r="B22" s="354">
        <f>0.11</f>
        <v>0.11</v>
      </c>
      <c r="C22" s="348"/>
      <c r="D22" s="348"/>
      <c r="E22" s="348"/>
      <c r="F22" s="352"/>
      <c r="G22" s="348"/>
      <c r="H22" s="348"/>
      <c r="I22" s="348"/>
      <c r="J22" s="352"/>
      <c r="K22" s="348"/>
      <c r="L22" s="352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54">
        <f t="shared" si="0"/>
        <v>0</v>
      </c>
      <c r="AC22" s="349">
        <f t="shared" si="0"/>
        <v>0</v>
      </c>
      <c r="AD22" s="348"/>
      <c r="AE22" s="348"/>
      <c r="AF22" s="348"/>
      <c r="AG22" s="348"/>
      <c r="AH22" s="348"/>
      <c r="AI22" s="348"/>
      <c r="AJ22" s="348"/>
      <c r="AK22" s="348"/>
      <c r="AL22" s="354">
        <f t="shared" si="1"/>
        <v>0</v>
      </c>
      <c r="AM22" s="349">
        <f t="shared" si="1"/>
        <v>0</v>
      </c>
      <c r="AN22" s="352"/>
      <c r="AO22" s="348"/>
      <c r="AP22" s="352"/>
      <c r="AQ22" s="348"/>
      <c r="AR22" s="352"/>
      <c r="AS22" s="348"/>
      <c r="AT22" s="352"/>
      <c r="AU22" s="348"/>
      <c r="AV22" s="354">
        <f t="shared" si="2"/>
        <v>0</v>
      </c>
      <c r="AW22" s="349">
        <f t="shared" si="2"/>
        <v>0</v>
      </c>
      <c r="AX22" s="348"/>
      <c r="AY22" s="348"/>
      <c r="AZ22" s="348"/>
      <c r="BA22" s="348"/>
      <c r="BB22" s="349">
        <f t="shared" si="3"/>
        <v>0</v>
      </c>
      <c r="BC22" s="349">
        <f t="shared" si="3"/>
        <v>0</v>
      </c>
      <c r="BD22" s="348"/>
      <c r="BE22" s="348"/>
      <c r="BF22" s="348"/>
      <c r="BG22" s="348"/>
      <c r="BH22" s="349">
        <f t="shared" si="4"/>
        <v>0</v>
      </c>
      <c r="BI22" s="349">
        <f t="shared" si="4"/>
        <v>0</v>
      </c>
      <c r="BJ22" s="348"/>
      <c r="BK22" s="348"/>
      <c r="BL22" s="349">
        <f t="shared" si="5"/>
        <v>0.11</v>
      </c>
      <c r="BM22" s="349">
        <f t="shared" si="6"/>
        <v>0</v>
      </c>
    </row>
    <row r="23" spans="1:67" x14ac:dyDescent="0.25">
      <c r="A23" s="347" t="s">
        <v>36</v>
      </c>
      <c r="B23" s="354">
        <f>5205.86</f>
        <v>5205.8599999999997</v>
      </c>
      <c r="C23" s="348"/>
      <c r="D23" s="348"/>
      <c r="E23" s="348"/>
      <c r="F23" s="352"/>
      <c r="G23" s="348"/>
      <c r="H23" s="348"/>
      <c r="I23" s="348"/>
      <c r="J23" s="352"/>
      <c r="K23" s="348"/>
      <c r="L23" s="352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54">
        <f t="shared" si="0"/>
        <v>0</v>
      </c>
      <c r="AC23" s="349">
        <f t="shared" si="0"/>
        <v>0</v>
      </c>
      <c r="AD23" s="348"/>
      <c r="AE23" s="348"/>
      <c r="AF23" s="348"/>
      <c r="AG23" s="348"/>
      <c r="AH23" s="348"/>
      <c r="AI23" s="348"/>
      <c r="AJ23" s="348"/>
      <c r="AK23" s="348"/>
      <c r="AL23" s="354">
        <f t="shared" si="1"/>
        <v>0</v>
      </c>
      <c r="AM23" s="349">
        <f t="shared" si="1"/>
        <v>0</v>
      </c>
      <c r="AN23" s="352"/>
      <c r="AO23" s="348"/>
      <c r="AP23" s="352"/>
      <c r="AQ23" s="348"/>
      <c r="AR23" s="352"/>
      <c r="AS23" s="348"/>
      <c r="AT23" s="352"/>
      <c r="AU23" s="348"/>
      <c r="AV23" s="354">
        <f t="shared" si="2"/>
        <v>0</v>
      </c>
      <c r="AW23" s="349">
        <f t="shared" si="2"/>
        <v>0</v>
      </c>
      <c r="AX23" s="348"/>
      <c r="AY23" s="348"/>
      <c r="AZ23" s="349">
        <f>13263.25</f>
        <v>13263.25</v>
      </c>
      <c r="BA23" s="348"/>
      <c r="BB23" s="349">
        <f t="shared" si="3"/>
        <v>13263.25</v>
      </c>
      <c r="BC23" s="349">
        <f t="shared" si="3"/>
        <v>0</v>
      </c>
      <c r="BD23" s="349">
        <f>820.97</f>
        <v>820.97</v>
      </c>
      <c r="BE23" s="348"/>
      <c r="BF23" s="348"/>
      <c r="BG23" s="348"/>
      <c r="BH23" s="349">
        <f t="shared" si="4"/>
        <v>820.97</v>
      </c>
      <c r="BI23" s="349">
        <f t="shared" si="4"/>
        <v>0</v>
      </c>
      <c r="BJ23" s="348"/>
      <c r="BK23" s="348"/>
      <c r="BL23" s="349">
        <f t="shared" si="5"/>
        <v>19290.080000000002</v>
      </c>
      <c r="BM23" s="349">
        <f t="shared" si="6"/>
        <v>0</v>
      </c>
    </row>
    <row r="24" spans="1:67" x14ac:dyDescent="0.25">
      <c r="A24" s="347" t="s">
        <v>706</v>
      </c>
      <c r="B24" s="352"/>
      <c r="C24" s="349">
        <f>90000</f>
        <v>90000</v>
      </c>
      <c r="D24" s="348"/>
      <c r="E24" s="349">
        <f>25000</f>
        <v>25000</v>
      </c>
      <c r="F24" s="352"/>
      <c r="G24" s="349">
        <f>750</f>
        <v>750</v>
      </c>
      <c r="H24" s="348"/>
      <c r="I24" s="348"/>
      <c r="J24" s="352"/>
      <c r="K24" s="348"/>
      <c r="L24" s="352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54">
        <f t="shared" si="0"/>
        <v>0</v>
      </c>
      <c r="AC24" s="349">
        <f t="shared" si="0"/>
        <v>0</v>
      </c>
      <c r="AD24" s="348"/>
      <c r="AE24" s="348"/>
      <c r="AF24" s="348"/>
      <c r="AG24" s="348"/>
      <c r="AH24" s="348"/>
      <c r="AI24" s="348"/>
      <c r="AJ24" s="348"/>
      <c r="AK24" s="348"/>
      <c r="AL24" s="354">
        <f t="shared" si="1"/>
        <v>0</v>
      </c>
      <c r="AM24" s="349">
        <f t="shared" si="1"/>
        <v>0</v>
      </c>
      <c r="AN24" s="352"/>
      <c r="AO24" s="348"/>
      <c r="AP24" s="352"/>
      <c r="AQ24" s="348"/>
      <c r="AR24" s="352"/>
      <c r="AS24" s="348"/>
      <c r="AT24" s="352"/>
      <c r="AU24" s="348"/>
      <c r="AV24" s="354">
        <f t="shared" si="2"/>
        <v>0</v>
      </c>
      <c r="AW24" s="349">
        <f t="shared" si="2"/>
        <v>0</v>
      </c>
      <c r="AX24" s="348"/>
      <c r="AY24" s="348"/>
      <c r="AZ24" s="348"/>
      <c r="BA24" s="348"/>
      <c r="BB24" s="349">
        <f t="shared" si="3"/>
        <v>0</v>
      </c>
      <c r="BC24" s="349">
        <f t="shared" si="3"/>
        <v>0</v>
      </c>
      <c r="BD24" s="348"/>
      <c r="BE24" s="348"/>
      <c r="BF24" s="348"/>
      <c r="BG24" s="348"/>
      <c r="BH24" s="349">
        <f t="shared" si="4"/>
        <v>0</v>
      </c>
      <c r="BI24" s="349">
        <f t="shared" si="4"/>
        <v>0</v>
      </c>
      <c r="BJ24" s="348"/>
      <c r="BK24" s="348"/>
      <c r="BL24" s="349">
        <f t="shared" si="5"/>
        <v>0</v>
      </c>
      <c r="BM24" s="349">
        <f t="shared" si="6"/>
        <v>115750</v>
      </c>
    </row>
    <row r="25" spans="1:67" x14ac:dyDescent="0.25">
      <c r="A25" s="347" t="s">
        <v>707</v>
      </c>
      <c r="B25" s="352"/>
      <c r="C25" s="348"/>
      <c r="D25" s="349">
        <f>-11771</f>
        <v>-11771</v>
      </c>
      <c r="E25" s="348"/>
      <c r="F25" s="352"/>
      <c r="G25" s="348"/>
      <c r="H25" s="348"/>
      <c r="I25" s="348"/>
      <c r="J25" s="352"/>
      <c r="K25" s="348"/>
      <c r="L25" s="352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54">
        <f t="shared" si="0"/>
        <v>0</v>
      </c>
      <c r="AC25" s="349">
        <f t="shared" si="0"/>
        <v>0</v>
      </c>
      <c r="AD25" s="348"/>
      <c r="AE25" s="348"/>
      <c r="AF25" s="348"/>
      <c r="AG25" s="348"/>
      <c r="AH25" s="348"/>
      <c r="AI25" s="348"/>
      <c r="AJ25" s="348"/>
      <c r="AK25" s="348"/>
      <c r="AL25" s="354">
        <f t="shared" si="1"/>
        <v>0</v>
      </c>
      <c r="AM25" s="349">
        <f t="shared" si="1"/>
        <v>0</v>
      </c>
      <c r="AN25" s="352"/>
      <c r="AO25" s="348"/>
      <c r="AP25" s="352"/>
      <c r="AQ25" s="348"/>
      <c r="AR25" s="352"/>
      <c r="AS25" s="348"/>
      <c r="AT25" s="352"/>
      <c r="AU25" s="348"/>
      <c r="AV25" s="354">
        <f t="shared" si="2"/>
        <v>0</v>
      </c>
      <c r="AW25" s="349">
        <f t="shared" si="2"/>
        <v>0</v>
      </c>
      <c r="AX25" s="348"/>
      <c r="AY25" s="348"/>
      <c r="AZ25" s="348"/>
      <c r="BA25" s="348"/>
      <c r="BB25" s="349">
        <f t="shared" si="3"/>
        <v>0</v>
      </c>
      <c r="BC25" s="349">
        <f t="shared" si="3"/>
        <v>0</v>
      </c>
      <c r="BD25" s="348"/>
      <c r="BE25" s="348"/>
      <c r="BF25" s="348"/>
      <c r="BG25" s="348"/>
      <c r="BH25" s="349">
        <f t="shared" si="4"/>
        <v>0</v>
      </c>
      <c r="BI25" s="349">
        <f t="shared" si="4"/>
        <v>0</v>
      </c>
      <c r="BJ25" s="348"/>
      <c r="BK25" s="348"/>
      <c r="BL25" s="349">
        <f t="shared" si="5"/>
        <v>-11771</v>
      </c>
      <c r="BM25" s="349">
        <f t="shared" si="6"/>
        <v>0</v>
      </c>
    </row>
    <row r="26" spans="1:67" x14ac:dyDescent="0.25">
      <c r="A26" s="347" t="s">
        <v>708</v>
      </c>
      <c r="B26" s="353">
        <f t="shared" ref="B26:AA26" si="17">((B23)+(B24))+(B25)</f>
        <v>5205.8599999999997</v>
      </c>
      <c r="C26" s="350">
        <f t="shared" si="17"/>
        <v>90000</v>
      </c>
      <c r="D26" s="350">
        <f t="shared" si="17"/>
        <v>-11771</v>
      </c>
      <c r="E26" s="350">
        <f t="shared" si="17"/>
        <v>25000</v>
      </c>
      <c r="F26" s="353">
        <f t="shared" si="17"/>
        <v>0</v>
      </c>
      <c r="G26" s="350">
        <f t="shared" si="17"/>
        <v>750</v>
      </c>
      <c r="H26" s="350">
        <f t="shared" si="17"/>
        <v>0</v>
      </c>
      <c r="I26" s="350">
        <f t="shared" si="17"/>
        <v>0</v>
      </c>
      <c r="J26" s="353">
        <f t="shared" si="17"/>
        <v>0</v>
      </c>
      <c r="K26" s="350">
        <f t="shared" si="17"/>
        <v>0</v>
      </c>
      <c r="L26" s="353">
        <f t="shared" ref="L26" si="18">((L23)+(L24))+(L25)</f>
        <v>0</v>
      </c>
      <c r="M26" s="350">
        <f t="shared" ref="M26" si="19">((M23)+(M24))+(M25)</f>
        <v>0</v>
      </c>
      <c r="N26" s="350">
        <f t="shared" si="17"/>
        <v>0</v>
      </c>
      <c r="O26" s="350">
        <f t="shared" si="17"/>
        <v>0</v>
      </c>
      <c r="P26" s="350">
        <f t="shared" si="17"/>
        <v>0</v>
      </c>
      <c r="Q26" s="350">
        <f t="shared" si="17"/>
        <v>0</v>
      </c>
      <c r="R26" s="350">
        <f t="shared" si="17"/>
        <v>0</v>
      </c>
      <c r="S26" s="350">
        <f t="shared" si="17"/>
        <v>0</v>
      </c>
      <c r="T26" s="350">
        <f t="shared" si="17"/>
        <v>0</v>
      </c>
      <c r="U26" s="350">
        <f t="shared" si="17"/>
        <v>0</v>
      </c>
      <c r="V26" s="350">
        <f t="shared" si="17"/>
        <v>0</v>
      </c>
      <c r="W26" s="350">
        <f t="shared" si="17"/>
        <v>0</v>
      </c>
      <c r="X26" s="350">
        <f t="shared" si="17"/>
        <v>0</v>
      </c>
      <c r="Y26" s="350">
        <f t="shared" si="17"/>
        <v>0</v>
      </c>
      <c r="Z26" s="350">
        <f t="shared" si="17"/>
        <v>0</v>
      </c>
      <c r="AA26" s="350">
        <f t="shared" si="17"/>
        <v>0</v>
      </c>
      <c r="AB26" s="353">
        <f t="shared" si="0"/>
        <v>0</v>
      </c>
      <c r="AC26" s="350">
        <f t="shared" si="0"/>
        <v>0</v>
      </c>
      <c r="AD26" s="350">
        <f t="shared" ref="AD26:AK26" si="20">((AD23)+(AD24))+(AD25)</f>
        <v>0</v>
      </c>
      <c r="AE26" s="350">
        <f t="shared" si="20"/>
        <v>0</v>
      </c>
      <c r="AF26" s="350">
        <f t="shared" si="20"/>
        <v>0</v>
      </c>
      <c r="AG26" s="350">
        <f t="shared" si="20"/>
        <v>0</v>
      </c>
      <c r="AH26" s="350">
        <f t="shared" si="20"/>
        <v>0</v>
      </c>
      <c r="AI26" s="350">
        <f t="shared" si="20"/>
        <v>0</v>
      </c>
      <c r="AJ26" s="350">
        <f t="shared" si="20"/>
        <v>0</v>
      </c>
      <c r="AK26" s="350">
        <f t="shared" si="20"/>
        <v>0</v>
      </c>
      <c r="AL26" s="353">
        <f t="shared" si="1"/>
        <v>0</v>
      </c>
      <c r="AM26" s="350">
        <f t="shared" si="1"/>
        <v>0</v>
      </c>
      <c r="AN26" s="353">
        <f t="shared" ref="AN26:AU26" si="21">((AN23)+(AN24))+(AN25)</f>
        <v>0</v>
      </c>
      <c r="AO26" s="350">
        <f t="shared" si="21"/>
        <v>0</v>
      </c>
      <c r="AP26" s="353">
        <f t="shared" si="21"/>
        <v>0</v>
      </c>
      <c r="AQ26" s="350">
        <f t="shared" si="21"/>
        <v>0</v>
      </c>
      <c r="AR26" s="353">
        <f t="shared" si="21"/>
        <v>0</v>
      </c>
      <c r="AS26" s="350">
        <f t="shared" si="21"/>
        <v>0</v>
      </c>
      <c r="AT26" s="353">
        <f t="shared" si="21"/>
        <v>0</v>
      </c>
      <c r="AU26" s="350">
        <f t="shared" si="21"/>
        <v>0</v>
      </c>
      <c r="AV26" s="353">
        <f t="shared" si="2"/>
        <v>0</v>
      </c>
      <c r="AW26" s="350">
        <f t="shared" si="2"/>
        <v>0</v>
      </c>
      <c r="AX26" s="350">
        <f>((AX23)+(AX24))+(AX25)</f>
        <v>0</v>
      </c>
      <c r="AY26" s="350">
        <f>((AY23)+(AY24))+(AY25)</f>
        <v>0</v>
      </c>
      <c r="AZ26" s="350">
        <f>((AZ23)+(AZ24))+(AZ25)</f>
        <v>13263.25</v>
      </c>
      <c r="BA26" s="350">
        <f>((BA23)+(BA24))+(BA25)</f>
        <v>0</v>
      </c>
      <c r="BB26" s="350">
        <f t="shared" si="3"/>
        <v>13263.25</v>
      </c>
      <c r="BC26" s="350">
        <f t="shared" si="3"/>
        <v>0</v>
      </c>
      <c r="BD26" s="350">
        <f>((BD23)+(BD24))+(BD25)</f>
        <v>820.97</v>
      </c>
      <c r="BE26" s="350">
        <f>((BE23)+(BE24))+(BE25)</f>
        <v>0</v>
      </c>
      <c r="BF26" s="350">
        <f>((BF23)+(BF24))+(BF25)</f>
        <v>0</v>
      </c>
      <c r="BG26" s="350">
        <f>((BG23)+(BG24))+(BG25)</f>
        <v>0</v>
      </c>
      <c r="BH26" s="350">
        <f t="shared" si="4"/>
        <v>820.97</v>
      </c>
      <c r="BI26" s="350">
        <f t="shared" si="4"/>
        <v>0</v>
      </c>
      <c r="BJ26" s="350">
        <f>((BJ23)+(BJ24))+(BJ25)</f>
        <v>0</v>
      </c>
      <c r="BK26" s="350">
        <f>((BK23)+(BK24))+(BK25)</f>
        <v>0</v>
      </c>
      <c r="BL26" s="350">
        <f t="shared" si="5"/>
        <v>7519.08</v>
      </c>
      <c r="BM26" s="350">
        <f t="shared" si="6"/>
        <v>115750</v>
      </c>
    </row>
    <row r="27" spans="1:67" x14ac:dyDescent="0.25">
      <c r="A27" s="347" t="s">
        <v>709</v>
      </c>
      <c r="B27" s="354">
        <f>18</f>
        <v>18</v>
      </c>
      <c r="C27" s="348"/>
      <c r="D27" s="348"/>
      <c r="E27" s="348"/>
      <c r="F27" s="352"/>
      <c r="G27" s="348"/>
      <c r="H27" s="348"/>
      <c r="I27" s="348"/>
      <c r="J27" s="352"/>
      <c r="K27" s="348"/>
      <c r="L27" s="352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54">
        <f t="shared" si="0"/>
        <v>0</v>
      </c>
      <c r="AC27" s="349">
        <f t="shared" si="0"/>
        <v>0</v>
      </c>
      <c r="AD27" s="348"/>
      <c r="AE27" s="348"/>
      <c r="AF27" s="348"/>
      <c r="AG27" s="348"/>
      <c r="AH27" s="348"/>
      <c r="AI27" s="348"/>
      <c r="AJ27" s="348"/>
      <c r="AK27" s="348"/>
      <c r="AL27" s="354">
        <f t="shared" si="1"/>
        <v>0</v>
      </c>
      <c r="AM27" s="349">
        <f t="shared" si="1"/>
        <v>0</v>
      </c>
      <c r="AN27" s="352"/>
      <c r="AO27" s="348"/>
      <c r="AP27" s="352"/>
      <c r="AQ27" s="348"/>
      <c r="AR27" s="352"/>
      <c r="AS27" s="348"/>
      <c r="AT27" s="352"/>
      <c r="AU27" s="348"/>
      <c r="AV27" s="354">
        <f t="shared" si="2"/>
        <v>0</v>
      </c>
      <c r="AW27" s="349">
        <f t="shared" si="2"/>
        <v>0</v>
      </c>
      <c r="AX27" s="348"/>
      <c r="AY27" s="348"/>
      <c r="AZ27" s="348"/>
      <c r="BA27" s="348"/>
      <c r="BB27" s="349">
        <f t="shared" si="3"/>
        <v>0</v>
      </c>
      <c r="BC27" s="349">
        <f t="shared" si="3"/>
        <v>0</v>
      </c>
      <c r="BD27" s="349">
        <f>70.08</f>
        <v>70.08</v>
      </c>
      <c r="BE27" s="348"/>
      <c r="BF27" s="348"/>
      <c r="BG27" s="348"/>
      <c r="BH27" s="349">
        <f t="shared" si="4"/>
        <v>70.08</v>
      </c>
      <c r="BI27" s="349">
        <f t="shared" si="4"/>
        <v>0</v>
      </c>
      <c r="BJ27" s="348"/>
      <c r="BK27" s="348"/>
      <c r="BL27" s="349">
        <f t="shared" si="5"/>
        <v>88.08</v>
      </c>
      <c r="BM27" s="349">
        <f t="shared" si="6"/>
        <v>0</v>
      </c>
    </row>
    <row r="28" spans="1:67" x14ac:dyDescent="0.25">
      <c r="A28" s="347" t="s">
        <v>710</v>
      </c>
      <c r="B28" s="352"/>
      <c r="C28" s="348"/>
      <c r="D28" s="348"/>
      <c r="E28" s="348"/>
      <c r="F28" s="352"/>
      <c r="G28" s="348"/>
      <c r="H28" s="348"/>
      <c r="I28" s="348"/>
      <c r="J28" s="352"/>
      <c r="K28" s="348"/>
      <c r="L28" s="352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54">
        <f t="shared" si="0"/>
        <v>0</v>
      </c>
      <c r="AC28" s="349">
        <f t="shared" si="0"/>
        <v>0</v>
      </c>
      <c r="AD28" s="348"/>
      <c r="AE28" s="348"/>
      <c r="AF28" s="348"/>
      <c r="AG28" s="348"/>
      <c r="AH28" s="348"/>
      <c r="AI28" s="348"/>
      <c r="AJ28" s="348"/>
      <c r="AK28" s="348"/>
      <c r="AL28" s="354">
        <f t="shared" si="1"/>
        <v>0</v>
      </c>
      <c r="AM28" s="349">
        <f t="shared" si="1"/>
        <v>0</v>
      </c>
      <c r="AN28" s="352"/>
      <c r="AO28" s="348"/>
      <c r="AP28" s="352"/>
      <c r="AQ28" s="348"/>
      <c r="AR28" s="352"/>
      <c r="AS28" s="348"/>
      <c r="AT28" s="352"/>
      <c r="AU28" s="348"/>
      <c r="AV28" s="354">
        <f t="shared" si="2"/>
        <v>0</v>
      </c>
      <c r="AW28" s="349">
        <f t="shared" si="2"/>
        <v>0</v>
      </c>
      <c r="AX28" s="348"/>
      <c r="AY28" s="348"/>
      <c r="AZ28" s="348"/>
      <c r="BA28" s="348"/>
      <c r="BB28" s="349">
        <f t="shared" si="3"/>
        <v>0</v>
      </c>
      <c r="BC28" s="349">
        <f t="shared" si="3"/>
        <v>0</v>
      </c>
      <c r="BD28" s="348"/>
      <c r="BE28" s="348"/>
      <c r="BF28" s="348"/>
      <c r="BG28" s="348"/>
      <c r="BH28" s="349">
        <f t="shared" si="4"/>
        <v>0</v>
      </c>
      <c r="BI28" s="349">
        <f t="shared" si="4"/>
        <v>0</v>
      </c>
      <c r="BJ28" s="349">
        <f>0</f>
        <v>0</v>
      </c>
      <c r="BK28" s="348"/>
      <c r="BL28" s="349">
        <f t="shared" si="5"/>
        <v>0</v>
      </c>
      <c r="BM28" s="349">
        <f t="shared" si="6"/>
        <v>0</v>
      </c>
    </row>
    <row r="29" spans="1:67" x14ac:dyDescent="0.25">
      <c r="A29" s="347" t="s">
        <v>38</v>
      </c>
      <c r="B29" s="353">
        <f t="shared" ref="B29:AA29" si="22">((((((((((((B8)+(B12))+(B13))+(B14))+(B15))+(B16))+(B17))+(B18))+(B21))+(B22))+(B26))+(B27))+(B28)</f>
        <v>83400.149999999994</v>
      </c>
      <c r="C29" s="350">
        <f t="shared" si="22"/>
        <v>146837.41999999998</v>
      </c>
      <c r="D29" s="350">
        <f t="shared" si="22"/>
        <v>296679</v>
      </c>
      <c r="E29" s="350">
        <f t="shared" si="22"/>
        <v>250000</v>
      </c>
      <c r="F29" s="353">
        <f t="shared" si="22"/>
        <v>103540.41</v>
      </c>
      <c r="G29" s="350">
        <f t="shared" si="22"/>
        <v>125750</v>
      </c>
      <c r="H29" s="350">
        <f t="shared" si="22"/>
        <v>100910.76</v>
      </c>
      <c r="I29" s="350">
        <f t="shared" si="22"/>
        <v>0</v>
      </c>
      <c r="J29" s="353">
        <f t="shared" si="22"/>
        <v>0</v>
      </c>
      <c r="K29" s="350">
        <f t="shared" si="22"/>
        <v>0</v>
      </c>
      <c r="L29" s="353">
        <f t="shared" ref="L29" si="23">((((((((((((L8)+(L12))+(L13))+(L14))+(L15))+(L16))+(L17))+(L18))+(L21))+(L22))+(L26))+(L27))+(L28)</f>
        <v>0</v>
      </c>
      <c r="M29" s="350">
        <f t="shared" ref="M29" si="24">((((((((((((M8)+(M12))+(M13))+(M14))+(M15))+(M16))+(M17))+(M18))+(M21))+(M22))+(M26))+(M27))+(M28)</f>
        <v>0</v>
      </c>
      <c r="N29" s="350">
        <f t="shared" si="22"/>
        <v>167750</v>
      </c>
      <c r="O29" s="350">
        <f t="shared" si="22"/>
        <v>200000</v>
      </c>
      <c r="P29" s="350">
        <f t="shared" si="22"/>
        <v>0</v>
      </c>
      <c r="Q29" s="350">
        <f t="shared" si="22"/>
        <v>0</v>
      </c>
      <c r="R29" s="350">
        <f t="shared" si="22"/>
        <v>0</v>
      </c>
      <c r="S29" s="350">
        <f t="shared" si="22"/>
        <v>0</v>
      </c>
      <c r="T29" s="350">
        <f t="shared" si="22"/>
        <v>0</v>
      </c>
      <c r="U29" s="350">
        <f t="shared" si="22"/>
        <v>0</v>
      </c>
      <c r="V29" s="350">
        <f t="shared" si="22"/>
        <v>0</v>
      </c>
      <c r="W29" s="350">
        <f t="shared" si="22"/>
        <v>0</v>
      </c>
      <c r="X29" s="350">
        <f t="shared" si="22"/>
        <v>0</v>
      </c>
      <c r="Y29" s="350">
        <f t="shared" si="22"/>
        <v>0</v>
      </c>
      <c r="Z29" s="350">
        <f t="shared" si="22"/>
        <v>0</v>
      </c>
      <c r="AA29" s="350">
        <f t="shared" si="22"/>
        <v>0</v>
      </c>
      <c r="AB29" s="353">
        <f t="shared" si="0"/>
        <v>167750</v>
      </c>
      <c r="AC29" s="350">
        <f t="shared" si="0"/>
        <v>200000</v>
      </c>
      <c r="AD29" s="350">
        <f t="shared" ref="AD29:AK29" si="25">((((((((((((AD8)+(AD12))+(AD13))+(AD14))+(AD15))+(AD16))+(AD17))+(AD18))+(AD21))+(AD22))+(AD26))+(AD27))+(AD28)</f>
        <v>96750</v>
      </c>
      <c r="AE29" s="350">
        <f t="shared" si="25"/>
        <v>125000</v>
      </c>
      <c r="AF29" s="350">
        <f t="shared" si="25"/>
        <v>0</v>
      </c>
      <c r="AG29" s="350">
        <f t="shared" si="25"/>
        <v>0</v>
      </c>
      <c r="AH29" s="350">
        <f t="shared" si="25"/>
        <v>0</v>
      </c>
      <c r="AI29" s="350">
        <f t="shared" si="25"/>
        <v>0</v>
      </c>
      <c r="AJ29" s="350">
        <f t="shared" si="25"/>
        <v>0</v>
      </c>
      <c r="AK29" s="350">
        <f t="shared" si="25"/>
        <v>0</v>
      </c>
      <c r="AL29" s="353">
        <f t="shared" si="1"/>
        <v>96750</v>
      </c>
      <c r="AM29" s="350">
        <f t="shared" si="1"/>
        <v>125000</v>
      </c>
      <c r="AN29" s="353">
        <f t="shared" ref="AN29:AU29" si="26">((((((((((((AN8)+(AN12))+(AN13))+(AN14))+(AN15))+(AN16))+(AN17))+(AN18))+(AN21))+(AN22))+(AN26))+(AN27))+(AN28)</f>
        <v>63523.65</v>
      </c>
      <c r="AO29" s="350">
        <f t="shared" si="26"/>
        <v>70088.63</v>
      </c>
      <c r="AP29" s="353">
        <f t="shared" si="26"/>
        <v>69300</v>
      </c>
      <c r="AQ29" s="350">
        <f t="shared" si="26"/>
        <v>69300</v>
      </c>
      <c r="AR29" s="353">
        <f t="shared" si="26"/>
        <v>1950.66</v>
      </c>
      <c r="AS29" s="350">
        <f t="shared" si="26"/>
        <v>0</v>
      </c>
      <c r="AT29" s="353">
        <f t="shared" si="26"/>
        <v>3786.01</v>
      </c>
      <c r="AU29" s="350">
        <f t="shared" si="26"/>
        <v>0</v>
      </c>
      <c r="AV29" s="353">
        <f t="shared" si="2"/>
        <v>5736.67</v>
      </c>
      <c r="AW29" s="350">
        <f t="shared" si="2"/>
        <v>0</v>
      </c>
      <c r="AX29" s="350">
        <f>((((((((((((AX8)+(AX12))+(AX13))+(AX14))+(AX15))+(AX16))+(AX17))+(AX18))+(AX21))+(AX22))+(AX26))+(AX27))+(AX28)</f>
        <v>2890.65</v>
      </c>
      <c r="AY29" s="350">
        <f>((((((((((((AY8)+(AY12))+(AY13))+(AY14))+(AY15))+(AY16))+(AY17))+(AY18))+(AY21))+(AY22))+(AY26))+(AY27))+(AY28)</f>
        <v>0</v>
      </c>
      <c r="AZ29" s="350">
        <f>((((((((((((AZ8)+(AZ12))+(AZ13))+(AZ14))+(AZ15))+(AZ16))+(AZ17))+(AZ18))+(AZ21))+(AZ22))+(AZ26))+(AZ27))+(AZ28)</f>
        <v>39781.440000000002</v>
      </c>
      <c r="BA29" s="350">
        <f>((((((((((((BA8)+(BA12))+(BA13))+(BA14))+(BA15))+(BA16))+(BA17))+(BA18))+(BA21))+(BA22))+(BA26))+(BA27))+(BA28)</f>
        <v>40000</v>
      </c>
      <c r="BB29" s="350">
        <f t="shared" si="3"/>
        <v>42672.090000000004</v>
      </c>
      <c r="BC29" s="350">
        <f t="shared" si="3"/>
        <v>40000</v>
      </c>
      <c r="BD29" s="350">
        <f>((((((((((((BD8)+(BD12))+(BD13))+(BD14))+(BD15))+(BD16))+(BD17))+(BD18))+(BD21))+(BD22))+(BD26))+(BD27))+(BD28)</f>
        <v>19195.920000000002</v>
      </c>
      <c r="BE29" s="350">
        <f>((((((((((((BE8)+(BE12))+(BE13))+(BE14))+(BE15))+(BE16))+(BE17))+(BE18))+(BE21))+(BE22))+(BE26))+(BE27))+(BE28)</f>
        <v>0</v>
      </c>
      <c r="BF29" s="350">
        <f>((((((((((((BF8)+(BF12))+(BF13))+(BF14))+(BF15))+(BF16))+(BF17))+(BF18))+(BF21))+(BF22))+(BF26))+(BF27))+(BF28)</f>
        <v>0</v>
      </c>
      <c r="BG29" s="350">
        <f>((((((((((((BG8)+(BG12))+(BG13))+(BG14))+(BG15))+(BG16))+(BG17))+(BG18))+(BG21))+(BG22))+(BG26))+(BG27))+(BG28)</f>
        <v>0</v>
      </c>
      <c r="BH29" s="350">
        <f t="shared" si="4"/>
        <v>19195.920000000002</v>
      </c>
      <c r="BI29" s="350">
        <f t="shared" si="4"/>
        <v>0</v>
      </c>
      <c r="BJ29" s="350">
        <f>((((((((((((BJ8)+(BJ12))+(BJ13))+(BJ14))+(BJ15))+(BJ16))+(BJ17))+(BJ18))+(BJ21))+(BJ22))+(BJ26))+(BJ27))+(BJ28)</f>
        <v>0</v>
      </c>
      <c r="BK29" s="350">
        <f>((((((((((((BK8)+(BK12))+(BK13))+(BK14))+(BK15))+(BK16))+(BK17))+(BK18))+(BK21))+(BK22))+(BK26))+(BK27))+(BK28)</f>
        <v>0</v>
      </c>
      <c r="BL29" s="350">
        <f t="shared" si="5"/>
        <v>1049458.6500000001</v>
      </c>
      <c r="BM29" s="350">
        <f t="shared" si="6"/>
        <v>1026976.0499999999</v>
      </c>
    </row>
    <row r="30" spans="1:67" x14ac:dyDescent="0.25">
      <c r="A30" s="347" t="s">
        <v>39</v>
      </c>
      <c r="B30" s="353">
        <f t="shared" ref="B30:AA30" si="27">(B29)-(0)</f>
        <v>83400.149999999994</v>
      </c>
      <c r="C30" s="350">
        <f t="shared" si="27"/>
        <v>146837.41999999998</v>
      </c>
      <c r="D30" s="350">
        <f t="shared" si="27"/>
        <v>296679</v>
      </c>
      <c r="E30" s="350">
        <f t="shared" si="27"/>
        <v>250000</v>
      </c>
      <c r="F30" s="353">
        <f t="shared" si="27"/>
        <v>103540.41</v>
      </c>
      <c r="G30" s="350">
        <f t="shared" si="27"/>
        <v>125750</v>
      </c>
      <c r="H30" s="350">
        <f t="shared" si="27"/>
        <v>100910.76</v>
      </c>
      <c r="I30" s="350">
        <f t="shared" si="27"/>
        <v>0</v>
      </c>
      <c r="J30" s="353">
        <f t="shared" si="27"/>
        <v>0</v>
      </c>
      <c r="K30" s="350">
        <f t="shared" si="27"/>
        <v>0</v>
      </c>
      <c r="L30" s="353">
        <f t="shared" ref="L30" si="28">(L29)-(0)</f>
        <v>0</v>
      </c>
      <c r="M30" s="350">
        <f t="shared" ref="M30" si="29">(M29)-(0)</f>
        <v>0</v>
      </c>
      <c r="N30" s="350">
        <f t="shared" si="27"/>
        <v>167750</v>
      </c>
      <c r="O30" s="350">
        <f t="shared" si="27"/>
        <v>200000</v>
      </c>
      <c r="P30" s="350">
        <f t="shared" si="27"/>
        <v>0</v>
      </c>
      <c r="Q30" s="350">
        <f t="shared" si="27"/>
        <v>0</v>
      </c>
      <c r="R30" s="350">
        <f t="shared" si="27"/>
        <v>0</v>
      </c>
      <c r="S30" s="350">
        <f t="shared" si="27"/>
        <v>0</v>
      </c>
      <c r="T30" s="350">
        <f t="shared" si="27"/>
        <v>0</v>
      </c>
      <c r="U30" s="350">
        <f t="shared" si="27"/>
        <v>0</v>
      </c>
      <c r="V30" s="350">
        <f t="shared" si="27"/>
        <v>0</v>
      </c>
      <c r="W30" s="350">
        <f t="shared" si="27"/>
        <v>0</v>
      </c>
      <c r="X30" s="350">
        <f t="shared" si="27"/>
        <v>0</v>
      </c>
      <c r="Y30" s="350">
        <f t="shared" si="27"/>
        <v>0</v>
      </c>
      <c r="Z30" s="350">
        <f t="shared" si="27"/>
        <v>0</v>
      </c>
      <c r="AA30" s="350">
        <f t="shared" si="27"/>
        <v>0</v>
      </c>
      <c r="AB30" s="353">
        <f t="shared" si="0"/>
        <v>167750</v>
      </c>
      <c r="AC30" s="350">
        <f t="shared" si="0"/>
        <v>200000</v>
      </c>
      <c r="AD30" s="350">
        <f t="shared" ref="AD30:AK30" si="30">(AD29)-(0)</f>
        <v>96750</v>
      </c>
      <c r="AE30" s="350">
        <f t="shared" si="30"/>
        <v>125000</v>
      </c>
      <c r="AF30" s="350">
        <f t="shared" si="30"/>
        <v>0</v>
      </c>
      <c r="AG30" s="350">
        <f t="shared" si="30"/>
        <v>0</v>
      </c>
      <c r="AH30" s="350">
        <f t="shared" si="30"/>
        <v>0</v>
      </c>
      <c r="AI30" s="350">
        <f t="shared" si="30"/>
        <v>0</v>
      </c>
      <c r="AJ30" s="350">
        <f t="shared" si="30"/>
        <v>0</v>
      </c>
      <c r="AK30" s="350">
        <f t="shared" si="30"/>
        <v>0</v>
      </c>
      <c r="AL30" s="353">
        <f t="shared" si="1"/>
        <v>96750</v>
      </c>
      <c r="AM30" s="350">
        <f t="shared" si="1"/>
        <v>125000</v>
      </c>
      <c r="AN30" s="353">
        <f t="shared" ref="AN30:AU30" si="31">(AN29)-(0)</f>
        <v>63523.65</v>
      </c>
      <c r="AO30" s="350">
        <f t="shared" si="31"/>
        <v>70088.63</v>
      </c>
      <c r="AP30" s="353">
        <f t="shared" si="31"/>
        <v>69300</v>
      </c>
      <c r="AQ30" s="350">
        <f t="shared" si="31"/>
        <v>69300</v>
      </c>
      <c r="AR30" s="353">
        <f t="shared" si="31"/>
        <v>1950.66</v>
      </c>
      <c r="AS30" s="350">
        <f t="shared" si="31"/>
        <v>0</v>
      </c>
      <c r="AT30" s="353">
        <f t="shared" si="31"/>
        <v>3786.01</v>
      </c>
      <c r="AU30" s="350">
        <f t="shared" si="31"/>
        <v>0</v>
      </c>
      <c r="AV30" s="353">
        <f t="shared" si="2"/>
        <v>5736.67</v>
      </c>
      <c r="AW30" s="350">
        <f t="shared" si="2"/>
        <v>0</v>
      </c>
      <c r="AX30" s="350">
        <f>(AX29)-(0)</f>
        <v>2890.65</v>
      </c>
      <c r="AY30" s="350">
        <f>(AY29)-(0)</f>
        <v>0</v>
      </c>
      <c r="AZ30" s="350">
        <f>(AZ29)-(0)</f>
        <v>39781.440000000002</v>
      </c>
      <c r="BA30" s="350">
        <f>(BA29)-(0)</f>
        <v>40000</v>
      </c>
      <c r="BB30" s="350">
        <f t="shared" si="3"/>
        <v>42672.090000000004</v>
      </c>
      <c r="BC30" s="350">
        <f t="shared" si="3"/>
        <v>40000</v>
      </c>
      <c r="BD30" s="350">
        <f>(BD29)-(0)</f>
        <v>19195.920000000002</v>
      </c>
      <c r="BE30" s="350">
        <f>(BE29)-(0)</f>
        <v>0</v>
      </c>
      <c r="BF30" s="350">
        <f>(BF29)-(0)</f>
        <v>0</v>
      </c>
      <c r="BG30" s="350">
        <f>(BG29)-(0)</f>
        <v>0</v>
      </c>
      <c r="BH30" s="350">
        <f t="shared" si="4"/>
        <v>19195.920000000002</v>
      </c>
      <c r="BI30" s="350">
        <f t="shared" si="4"/>
        <v>0</v>
      </c>
      <c r="BJ30" s="350">
        <f>(BJ29)-(0)</f>
        <v>0</v>
      </c>
      <c r="BK30" s="350">
        <f>(BK29)-(0)</f>
        <v>0</v>
      </c>
      <c r="BL30" s="350">
        <f t="shared" si="5"/>
        <v>1049458.6500000001</v>
      </c>
      <c r="BM30" s="350">
        <f t="shared" si="6"/>
        <v>1026976.0499999999</v>
      </c>
      <c r="BO30" s="356">
        <f>G33-F33</f>
        <v>1751.96</v>
      </c>
    </row>
    <row r="31" spans="1:67" x14ac:dyDescent="0.25">
      <c r="A31" s="347" t="s">
        <v>40</v>
      </c>
      <c r="B31" s="352"/>
      <c r="C31" s="348"/>
      <c r="D31" s="348"/>
      <c r="E31" s="348"/>
      <c r="F31" s="352"/>
      <c r="G31" s="348"/>
      <c r="H31" s="348"/>
      <c r="I31" s="348"/>
      <c r="J31" s="352"/>
      <c r="K31" s="348"/>
      <c r="L31" s="352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52"/>
      <c r="AC31" s="348"/>
      <c r="AD31" s="348"/>
      <c r="AE31" s="348"/>
      <c r="AF31" s="348"/>
      <c r="AG31" s="348"/>
      <c r="AH31" s="348"/>
      <c r="AI31" s="348"/>
      <c r="AJ31" s="348"/>
      <c r="AK31" s="348"/>
      <c r="AL31" s="352"/>
      <c r="AM31" s="348"/>
      <c r="AN31" s="352"/>
      <c r="AO31" s="348"/>
      <c r="AP31" s="352"/>
      <c r="AQ31" s="348"/>
      <c r="AR31" s="352"/>
      <c r="AS31" s="348"/>
      <c r="AT31" s="352"/>
      <c r="AU31" s="348"/>
      <c r="AV31" s="352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</row>
    <row r="32" spans="1:67" x14ac:dyDescent="0.25">
      <c r="A32" s="347" t="s">
        <v>41</v>
      </c>
      <c r="B32" s="354">
        <f>22</f>
        <v>22</v>
      </c>
      <c r="C32" s="348"/>
      <c r="D32" s="348"/>
      <c r="E32" s="348"/>
      <c r="F32" s="352"/>
      <c r="G32" s="348"/>
      <c r="H32" s="348"/>
      <c r="I32" s="348"/>
      <c r="J32" s="352"/>
      <c r="K32" s="348"/>
      <c r="L32" s="352"/>
      <c r="M32" s="348"/>
      <c r="N32" s="348"/>
      <c r="O32" s="349">
        <f>2160</f>
        <v>2160</v>
      </c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54">
        <f t="shared" ref="AB32:AC63" si="32">((((((N32)+(P32))+(R32))+(T32))+(V32))+(X32))+(Z32)</f>
        <v>0</v>
      </c>
      <c r="AC32" s="349">
        <f t="shared" si="32"/>
        <v>2160</v>
      </c>
      <c r="AD32" s="348"/>
      <c r="AE32" s="348"/>
      <c r="AF32" s="348"/>
      <c r="AG32" s="348"/>
      <c r="AH32" s="348"/>
      <c r="AI32" s="348"/>
      <c r="AJ32" s="348"/>
      <c r="AK32" s="348"/>
      <c r="AL32" s="354">
        <f t="shared" ref="AL32:AM63" si="33">(((AD32)+(AF32))+(AH32))+(AJ32)</f>
        <v>0</v>
      </c>
      <c r="AM32" s="349">
        <f t="shared" si="33"/>
        <v>0</v>
      </c>
      <c r="AN32" s="352"/>
      <c r="AO32" s="349">
        <f>14523.14</f>
        <v>14523.14</v>
      </c>
      <c r="AP32" s="352"/>
      <c r="AQ32" s="349">
        <f>2945</f>
        <v>2945</v>
      </c>
      <c r="AR32" s="352"/>
      <c r="AS32" s="348"/>
      <c r="AT32" s="352"/>
      <c r="AU32" s="348"/>
      <c r="AV32" s="354">
        <f t="shared" ref="AV32:AW63" si="34">(AR32)+(AT32)</f>
        <v>0</v>
      </c>
      <c r="AW32" s="349">
        <f t="shared" si="34"/>
        <v>0</v>
      </c>
      <c r="AX32" s="348"/>
      <c r="AY32" s="348"/>
      <c r="AZ32" s="348"/>
      <c r="BA32" s="349">
        <f>3200.5</f>
        <v>3200.5</v>
      </c>
      <c r="BB32" s="349">
        <f t="shared" ref="BB32:BC63" si="35">(AX32)+(AZ32)</f>
        <v>0</v>
      </c>
      <c r="BC32" s="349">
        <f t="shared" si="35"/>
        <v>3200.5</v>
      </c>
      <c r="BD32" s="348"/>
      <c r="BE32" s="348"/>
      <c r="BF32" s="348"/>
      <c r="BG32" s="348"/>
      <c r="BH32" s="349">
        <f t="shared" ref="BH32:BI63" si="36">(BD32)+(BF32)</f>
        <v>0</v>
      </c>
      <c r="BI32" s="349">
        <f t="shared" si="36"/>
        <v>0</v>
      </c>
      <c r="BJ32" s="348"/>
      <c r="BK32" s="348"/>
      <c r="BL32" s="349">
        <f t="shared" ref="BL32:BL63" si="37">((((((((((((B32)+(D32))+(F32))+(H32))+(J32))+(AB32))+(AL32))+(AN32))+(AP32))+(AV32))+(BB32))+(BH32))+(BJ32)</f>
        <v>22</v>
      </c>
      <c r="BM32" s="349">
        <f t="shared" ref="BM32:BM63" si="38">((((((((((((C32)+(E32))+(G32))+(I32))+(K32))+(AC32))+(AM32))+(AO32))+(AQ32))+(AW32))+(BC32))+(BI32))+(BK32)</f>
        <v>22828.639999999999</v>
      </c>
    </row>
    <row r="33" spans="1:65" x14ac:dyDescent="0.25">
      <c r="A33" s="347" t="s">
        <v>42</v>
      </c>
      <c r="B33" s="354">
        <f>3479.44</f>
        <v>3479.44</v>
      </c>
      <c r="C33" s="348"/>
      <c r="D33" s="348"/>
      <c r="E33" s="348"/>
      <c r="F33" s="354">
        <f>1141.54</f>
        <v>1141.54</v>
      </c>
      <c r="G33" s="349">
        <f>2893.5</f>
        <v>2893.5</v>
      </c>
      <c r="H33" s="348"/>
      <c r="I33" s="348"/>
      <c r="J33" s="352"/>
      <c r="K33" s="348"/>
      <c r="L33" s="352"/>
      <c r="M33" s="348"/>
      <c r="N33" s="349">
        <f>1616.3</f>
        <v>1616.3</v>
      </c>
      <c r="O33" s="349">
        <f>2160</f>
        <v>2160</v>
      </c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54">
        <f t="shared" si="32"/>
        <v>1616.3</v>
      </c>
      <c r="AC33" s="349">
        <f t="shared" si="32"/>
        <v>2160</v>
      </c>
      <c r="AD33" s="349">
        <f>180.46</f>
        <v>180.46</v>
      </c>
      <c r="AE33" s="349">
        <f>2486</f>
        <v>2486</v>
      </c>
      <c r="AF33" s="348"/>
      <c r="AG33" s="348"/>
      <c r="AH33" s="348"/>
      <c r="AI33" s="348"/>
      <c r="AJ33" s="348"/>
      <c r="AK33" s="348"/>
      <c r="AL33" s="354">
        <f t="shared" si="33"/>
        <v>180.46</v>
      </c>
      <c r="AM33" s="349">
        <f t="shared" si="33"/>
        <v>2486</v>
      </c>
      <c r="AN33" s="354">
        <f>287.39</f>
        <v>287.39</v>
      </c>
      <c r="AO33" s="348"/>
      <c r="AP33" s="354">
        <f>216.34</f>
        <v>216.34</v>
      </c>
      <c r="AQ33" s="348"/>
      <c r="AR33" s="352"/>
      <c r="AS33" s="348"/>
      <c r="AT33" s="352"/>
      <c r="AU33" s="348"/>
      <c r="AV33" s="354">
        <f t="shared" si="34"/>
        <v>0</v>
      </c>
      <c r="AW33" s="349">
        <f t="shared" si="34"/>
        <v>0</v>
      </c>
      <c r="AX33" s="349">
        <f>72</f>
        <v>72</v>
      </c>
      <c r="AY33" s="348"/>
      <c r="AZ33" s="349">
        <f>120.22</f>
        <v>120.22</v>
      </c>
      <c r="BA33" s="348"/>
      <c r="BB33" s="349">
        <f t="shared" si="35"/>
        <v>192.22</v>
      </c>
      <c r="BC33" s="349">
        <f t="shared" si="35"/>
        <v>0</v>
      </c>
      <c r="BD33" s="348"/>
      <c r="BE33" s="348"/>
      <c r="BF33" s="348"/>
      <c r="BG33" s="348"/>
      <c r="BH33" s="349">
        <f t="shared" si="36"/>
        <v>0</v>
      </c>
      <c r="BI33" s="349">
        <f t="shared" si="36"/>
        <v>0</v>
      </c>
      <c r="BJ33" s="348"/>
      <c r="BK33" s="348"/>
      <c r="BL33" s="349">
        <f t="shared" si="37"/>
        <v>7113.6900000000005</v>
      </c>
      <c r="BM33" s="349">
        <f t="shared" si="38"/>
        <v>7539.5</v>
      </c>
    </row>
    <row r="34" spans="1:65" x14ac:dyDescent="0.25">
      <c r="A34" s="347" t="s">
        <v>711</v>
      </c>
      <c r="B34" s="354">
        <f>209.91</f>
        <v>209.91</v>
      </c>
      <c r="C34" s="348"/>
      <c r="D34" s="348"/>
      <c r="E34" s="348"/>
      <c r="F34" s="352"/>
      <c r="G34" s="348"/>
      <c r="H34" s="348"/>
      <c r="I34" s="348"/>
      <c r="J34" s="352"/>
      <c r="K34" s="348"/>
      <c r="L34" s="352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54">
        <f t="shared" si="32"/>
        <v>0</v>
      </c>
      <c r="AC34" s="349">
        <f t="shared" si="32"/>
        <v>0</v>
      </c>
      <c r="AD34" s="348"/>
      <c r="AE34" s="348"/>
      <c r="AF34" s="348"/>
      <c r="AG34" s="348"/>
      <c r="AH34" s="348"/>
      <c r="AI34" s="348"/>
      <c r="AJ34" s="348"/>
      <c r="AK34" s="348"/>
      <c r="AL34" s="354">
        <f t="shared" si="33"/>
        <v>0</v>
      </c>
      <c r="AM34" s="349">
        <f t="shared" si="33"/>
        <v>0</v>
      </c>
      <c r="AN34" s="352"/>
      <c r="AO34" s="348"/>
      <c r="AP34" s="352"/>
      <c r="AQ34" s="348"/>
      <c r="AR34" s="352"/>
      <c r="AS34" s="348"/>
      <c r="AT34" s="352"/>
      <c r="AU34" s="348"/>
      <c r="AV34" s="354">
        <f t="shared" si="34"/>
        <v>0</v>
      </c>
      <c r="AW34" s="349">
        <f t="shared" si="34"/>
        <v>0</v>
      </c>
      <c r="AX34" s="348"/>
      <c r="AY34" s="348"/>
      <c r="AZ34" s="348"/>
      <c r="BA34" s="348"/>
      <c r="BB34" s="349">
        <f t="shared" si="35"/>
        <v>0</v>
      </c>
      <c r="BC34" s="349">
        <f t="shared" si="35"/>
        <v>0</v>
      </c>
      <c r="BD34" s="349">
        <f>0</f>
        <v>0</v>
      </c>
      <c r="BE34" s="348"/>
      <c r="BF34" s="348"/>
      <c r="BG34" s="348"/>
      <c r="BH34" s="349">
        <f t="shared" si="36"/>
        <v>0</v>
      </c>
      <c r="BI34" s="349">
        <f t="shared" si="36"/>
        <v>0</v>
      </c>
      <c r="BJ34" s="348"/>
      <c r="BK34" s="348"/>
      <c r="BL34" s="349">
        <f t="shared" si="37"/>
        <v>209.91</v>
      </c>
      <c r="BM34" s="349">
        <f t="shared" si="38"/>
        <v>0</v>
      </c>
    </row>
    <row r="35" spans="1:65" x14ac:dyDescent="0.25">
      <c r="A35" s="347" t="s">
        <v>44</v>
      </c>
      <c r="B35" s="353">
        <f t="shared" ref="B35:AA35" si="39">(B33)+(B34)</f>
        <v>3689.35</v>
      </c>
      <c r="C35" s="350">
        <f t="shared" si="39"/>
        <v>0</v>
      </c>
      <c r="D35" s="350">
        <f t="shared" si="39"/>
        <v>0</v>
      </c>
      <c r="E35" s="350">
        <f t="shared" si="39"/>
        <v>0</v>
      </c>
      <c r="F35" s="353">
        <f t="shared" si="39"/>
        <v>1141.54</v>
      </c>
      <c r="G35" s="350">
        <f t="shared" si="39"/>
        <v>2893.5</v>
      </c>
      <c r="H35" s="350">
        <f t="shared" si="39"/>
        <v>0</v>
      </c>
      <c r="I35" s="350">
        <f t="shared" si="39"/>
        <v>0</v>
      </c>
      <c r="J35" s="353">
        <f t="shared" si="39"/>
        <v>0</v>
      </c>
      <c r="K35" s="350">
        <f t="shared" si="39"/>
        <v>0</v>
      </c>
      <c r="L35" s="353">
        <f t="shared" ref="L35" si="40">(L33)+(L34)</f>
        <v>0</v>
      </c>
      <c r="M35" s="350">
        <f t="shared" ref="M35" si="41">(M33)+(M34)</f>
        <v>0</v>
      </c>
      <c r="N35" s="350">
        <f t="shared" si="39"/>
        <v>1616.3</v>
      </c>
      <c r="O35" s="350">
        <f t="shared" si="39"/>
        <v>2160</v>
      </c>
      <c r="P35" s="350">
        <f t="shared" si="39"/>
        <v>0</v>
      </c>
      <c r="Q35" s="350">
        <f t="shared" si="39"/>
        <v>0</v>
      </c>
      <c r="R35" s="350">
        <f t="shared" si="39"/>
        <v>0</v>
      </c>
      <c r="S35" s="350">
        <f t="shared" si="39"/>
        <v>0</v>
      </c>
      <c r="T35" s="350">
        <f t="shared" si="39"/>
        <v>0</v>
      </c>
      <c r="U35" s="350">
        <f t="shared" si="39"/>
        <v>0</v>
      </c>
      <c r="V35" s="350">
        <f t="shared" si="39"/>
        <v>0</v>
      </c>
      <c r="W35" s="350">
        <f t="shared" si="39"/>
        <v>0</v>
      </c>
      <c r="X35" s="350">
        <f t="shared" si="39"/>
        <v>0</v>
      </c>
      <c r="Y35" s="350">
        <f t="shared" si="39"/>
        <v>0</v>
      </c>
      <c r="Z35" s="350">
        <f t="shared" si="39"/>
        <v>0</v>
      </c>
      <c r="AA35" s="350">
        <f t="shared" si="39"/>
        <v>0</v>
      </c>
      <c r="AB35" s="353">
        <f t="shared" si="32"/>
        <v>1616.3</v>
      </c>
      <c r="AC35" s="350">
        <f t="shared" si="32"/>
        <v>2160</v>
      </c>
      <c r="AD35" s="350">
        <f t="shared" ref="AD35:AK35" si="42">(AD33)+(AD34)</f>
        <v>180.46</v>
      </c>
      <c r="AE35" s="350">
        <f t="shared" si="42"/>
        <v>2486</v>
      </c>
      <c r="AF35" s="350">
        <f t="shared" si="42"/>
        <v>0</v>
      </c>
      <c r="AG35" s="350">
        <f t="shared" si="42"/>
        <v>0</v>
      </c>
      <c r="AH35" s="350">
        <f t="shared" si="42"/>
        <v>0</v>
      </c>
      <c r="AI35" s="350">
        <f t="shared" si="42"/>
        <v>0</v>
      </c>
      <c r="AJ35" s="350">
        <f t="shared" si="42"/>
        <v>0</v>
      </c>
      <c r="AK35" s="350">
        <f t="shared" si="42"/>
        <v>0</v>
      </c>
      <c r="AL35" s="353">
        <f t="shared" si="33"/>
        <v>180.46</v>
      </c>
      <c r="AM35" s="350">
        <f t="shared" si="33"/>
        <v>2486</v>
      </c>
      <c r="AN35" s="353">
        <f t="shared" ref="AN35:AU35" si="43">(AN33)+(AN34)</f>
        <v>287.39</v>
      </c>
      <c r="AO35" s="350">
        <f t="shared" si="43"/>
        <v>0</v>
      </c>
      <c r="AP35" s="353">
        <f t="shared" si="43"/>
        <v>216.34</v>
      </c>
      <c r="AQ35" s="350">
        <f t="shared" si="43"/>
        <v>0</v>
      </c>
      <c r="AR35" s="353">
        <f t="shared" si="43"/>
        <v>0</v>
      </c>
      <c r="AS35" s="350">
        <f t="shared" si="43"/>
        <v>0</v>
      </c>
      <c r="AT35" s="353">
        <f t="shared" si="43"/>
        <v>0</v>
      </c>
      <c r="AU35" s="350">
        <f t="shared" si="43"/>
        <v>0</v>
      </c>
      <c r="AV35" s="353">
        <f t="shared" si="34"/>
        <v>0</v>
      </c>
      <c r="AW35" s="350">
        <f t="shared" si="34"/>
        <v>0</v>
      </c>
      <c r="AX35" s="350">
        <f>(AX33)+(AX34)</f>
        <v>72</v>
      </c>
      <c r="AY35" s="350">
        <f>(AY33)+(AY34)</f>
        <v>0</v>
      </c>
      <c r="AZ35" s="350">
        <f>(AZ33)+(AZ34)</f>
        <v>120.22</v>
      </c>
      <c r="BA35" s="350">
        <f>(BA33)+(BA34)</f>
        <v>0</v>
      </c>
      <c r="BB35" s="350">
        <f t="shared" si="35"/>
        <v>192.22</v>
      </c>
      <c r="BC35" s="350">
        <f t="shared" si="35"/>
        <v>0</v>
      </c>
      <c r="BD35" s="350">
        <f>(BD33)+(BD34)</f>
        <v>0</v>
      </c>
      <c r="BE35" s="350">
        <f>(BE33)+(BE34)</f>
        <v>0</v>
      </c>
      <c r="BF35" s="350">
        <f>(BF33)+(BF34)</f>
        <v>0</v>
      </c>
      <c r="BG35" s="350">
        <f>(BG33)+(BG34)</f>
        <v>0</v>
      </c>
      <c r="BH35" s="350">
        <f t="shared" si="36"/>
        <v>0</v>
      </c>
      <c r="BI35" s="350">
        <f t="shared" si="36"/>
        <v>0</v>
      </c>
      <c r="BJ35" s="350">
        <f>(BJ33)+(BJ34)</f>
        <v>0</v>
      </c>
      <c r="BK35" s="350">
        <f>(BK33)+(BK34)</f>
        <v>0</v>
      </c>
      <c r="BL35" s="350">
        <f t="shared" si="37"/>
        <v>7323.6</v>
      </c>
      <c r="BM35" s="350">
        <f t="shared" si="38"/>
        <v>7539.5</v>
      </c>
    </row>
    <row r="36" spans="1:65" x14ac:dyDescent="0.25">
      <c r="A36" s="347" t="s">
        <v>45</v>
      </c>
      <c r="B36" s="354">
        <f>780</f>
        <v>780</v>
      </c>
      <c r="C36" s="348"/>
      <c r="D36" s="348"/>
      <c r="E36" s="348"/>
      <c r="F36" s="354">
        <f>1810</f>
        <v>1810</v>
      </c>
      <c r="G36" s="348"/>
      <c r="H36" s="348"/>
      <c r="I36" s="348"/>
      <c r="J36" s="352"/>
      <c r="K36" s="348"/>
      <c r="L36" s="352"/>
      <c r="M36" s="348"/>
      <c r="N36" s="349">
        <f>3002</f>
        <v>3002</v>
      </c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54">
        <f t="shared" si="32"/>
        <v>3002</v>
      </c>
      <c r="AC36" s="349">
        <f t="shared" si="32"/>
        <v>0</v>
      </c>
      <c r="AD36" s="349">
        <f>1810</f>
        <v>1810</v>
      </c>
      <c r="AE36" s="348"/>
      <c r="AF36" s="348"/>
      <c r="AG36" s="348"/>
      <c r="AH36" s="348"/>
      <c r="AI36" s="348"/>
      <c r="AJ36" s="348"/>
      <c r="AK36" s="348"/>
      <c r="AL36" s="354">
        <f t="shared" si="33"/>
        <v>1810</v>
      </c>
      <c r="AM36" s="349">
        <f t="shared" si="33"/>
        <v>0</v>
      </c>
      <c r="AN36" s="354">
        <f>774</f>
        <v>774</v>
      </c>
      <c r="AO36" s="348"/>
      <c r="AP36" s="354">
        <f>624</f>
        <v>624</v>
      </c>
      <c r="AQ36" s="348"/>
      <c r="AR36" s="352"/>
      <c r="AS36" s="348"/>
      <c r="AT36" s="352"/>
      <c r="AU36" s="348"/>
      <c r="AV36" s="354">
        <f t="shared" si="34"/>
        <v>0</v>
      </c>
      <c r="AW36" s="349">
        <f t="shared" si="34"/>
        <v>0</v>
      </c>
      <c r="AX36" s="348"/>
      <c r="AY36" s="348"/>
      <c r="AZ36" s="348"/>
      <c r="BA36" s="348"/>
      <c r="BB36" s="349">
        <f t="shared" si="35"/>
        <v>0</v>
      </c>
      <c r="BC36" s="349">
        <f t="shared" si="35"/>
        <v>0</v>
      </c>
      <c r="BD36" s="348"/>
      <c r="BE36" s="348"/>
      <c r="BF36" s="348"/>
      <c r="BG36" s="348"/>
      <c r="BH36" s="349">
        <f t="shared" si="36"/>
        <v>0</v>
      </c>
      <c r="BI36" s="349">
        <f t="shared" si="36"/>
        <v>0</v>
      </c>
      <c r="BJ36" s="348"/>
      <c r="BK36" s="348"/>
      <c r="BL36" s="349">
        <f t="shared" si="37"/>
        <v>8800</v>
      </c>
      <c r="BM36" s="349">
        <f t="shared" si="38"/>
        <v>0</v>
      </c>
    </row>
    <row r="37" spans="1:65" x14ac:dyDescent="0.25">
      <c r="A37" s="347" t="s">
        <v>46</v>
      </c>
      <c r="B37" s="352"/>
      <c r="C37" s="348"/>
      <c r="D37" s="349">
        <f>42739</f>
        <v>42739</v>
      </c>
      <c r="E37" s="349">
        <f>20000</f>
        <v>20000</v>
      </c>
      <c r="F37" s="352"/>
      <c r="G37" s="348"/>
      <c r="H37" s="348"/>
      <c r="I37" s="348"/>
      <c r="J37" s="352"/>
      <c r="K37" s="348"/>
      <c r="L37" s="352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54">
        <f t="shared" si="32"/>
        <v>0</v>
      </c>
      <c r="AC37" s="349">
        <f t="shared" si="32"/>
        <v>0</v>
      </c>
      <c r="AD37" s="348"/>
      <c r="AE37" s="348"/>
      <c r="AF37" s="348"/>
      <c r="AG37" s="348"/>
      <c r="AH37" s="348"/>
      <c r="AI37" s="348"/>
      <c r="AJ37" s="348"/>
      <c r="AK37" s="348"/>
      <c r="AL37" s="354">
        <f t="shared" si="33"/>
        <v>0</v>
      </c>
      <c r="AM37" s="349">
        <f t="shared" si="33"/>
        <v>0</v>
      </c>
      <c r="AN37" s="352"/>
      <c r="AO37" s="348"/>
      <c r="AP37" s="352"/>
      <c r="AQ37" s="348"/>
      <c r="AR37" s="352"/>
      <c r="AS37" s="348"/>
      <c r="AT37" s="352"/>
      <c r="AU37" s="348"/>
      <c r="AV37" s="354">
        <f t="shared" si="34"/>
        <v>0</v>
      </c>
      <c r="AW37" s="349">
        <f t="shared" si="34"/>
        <v>0</v>
      </c>
      <c r="AX37" s="348"/>
      <c r="AY37" s="348"/>
      <c r="AZ37" s="348"/>
      <c r="BA37" s="348"/>
      <c r="BB37" s="349">
        <f t="shared" si="35"/>
        <v>0</v>
      </c>
      <c r="BC37" s="349">
        <f t="shared" si="35"/>
        <v>0</v>
      </c>
      <c r="BD37" s="348"/>
      <c r="BE37" s="348"/>
      <c r="BF37" s="348"/>
      <c r="BG37" s="348"/>
      <c r="BH37" s="349">
        <f t="shared" si="36"/>
        <v>0</v>
      </c>
      <c r="BI37" s="349">
        <f t="shared" si="36"/>
        <v>0</v>
      </c>
      <c r="BJ37" s="348"/>
      <c r="BK37" s="348"/>
      <c r="BL37" s="349">
        <f t="shared" si="37"/>
        <v>42739</v>
      </c>
      <c r="BM37" s="349">
        <f t="shared" si="38"/>
        <v>20000</v>
      </c>
    </row>
    <row r="38" spans="1:65" x14ac:dyDescent="0.25">
      <c r="A38" s="347" t="s">
        <v>48</v>
      </c>
      <c r="B38" s="352"/>
      <c r="C38" s="348"/>
      <c r="D38" s="348"/>
      <c r="E38" s="348"/>
      <c r="F38" s="352"/>
      <c r="G38" s="348"/>
      <c r="H38" s="348"/>
      <c r="I38" s="348"/>
      <c r="J38" s="352"/>
      <c r="K38" s="348"/>
      <c r="L38" s="352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54">
        <f t="shared" si="32"/>
        <v>0</v>
      </c>
      <c r="AC38" s="349">
        <f t="shared" si="32"/>
        <v>0</v>
      </c>
      <c r="AD38" s="348"/>
      <c r="AE38" s="348"/>
      <c r="AF38" s="348"/>
      <c r="AG38" s="348"/>
      <c r="AH38" s="348"/>
      <c r="AI38" s="348"/>
      <c r="AJ38" s="348"/>
      <c r="AK38" s="348"/>
      <c r="AL38" s="354">
        <f t="shared" si="33"/>
        <v>0</v>
      </c>
      <c r="AM38" s="349">
        <f t="shared" si="33"/>
        <v>0</v>
      </c>
      <c r="AN38" s="352"/>
      <c r="AO38" s="348"/>
      <c r="AP38" s="352"/>
      <c r="AQ38" s="348"/>
      <c r="AR38" s="352"/>
      <c r="AS38" s="348"/>
      <c r="AT38" s="352"/>
      <c r="AU38" s="348"/>
      <c r="AV38" s="354">
        <f t="shared" si="34"/>
        <v>0</v>
      </c>
      <c r="AW38" s="349">
        <f t="shared" si="34"/>
        <v>0</v>
      </c>
      <c r="AX38" s="348"/>
      <c r="AY38" s="348"/>
      <c r="AZ38" s="348"/>
      <c r="BA38" s="348"/>
      <c r="BB38" s="349">
        <f t="shared" si="35"/>
        <v>0</v>
      </c>
      <c r="BC38" s="349">
        <f t="shared" si="35"/>
        <v>0</v>
      </c>
      <c r="BD38" s="348"/>
      <c r="BE38" s="348"/>
      <c r="BF38" s="348"/>
      <c r="BG38" s="348"/>
      <c r="BH38" s="349">
        <f t="shared" si="36"/>
        <v>0</v>
      </c>
      <c r="BI38" s="349">
        <f t="shared" si="36"/>
        <v>0</v>
      </c>
      <c r="BJ38" s="348"/>
      <c r="BK38" s="348"/>
      <c r="BL38" s="349">
        <f t="shared" si="37"/>
        <v>0</v>
      </c>
      <c r="BM38" s="349">
        <f t="shared" si="38"/>
        <v>0</v>
      </c>
    </row>
    <row r="39" spans="1:65" x14ac:dyDescent="0.25">
      <c r="A39" s="347" t="s">
        <v>49</v>
      </c>
      <c r="B39" s="352"/>
      <c r="C39" s="348"/>
      <c r="D39" s="349">
        <f>5490</f>
        <v>5490</v>
      </c>
      <c r="E39" s="349">
        <f>14600</f>
        <v>14600</v>
      </c>
      <c r="F39" s="352"/>
      <c r="G39" s="348"/>
      <c r="H39" s="348"/>
      <c r="I39" s="348"/>
      <c r="J39" s="352"/>
      <c r="K39" s="348"/>
      <c r="L39" s="352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54">
        <f t="shared" si="32"/>
        <v>0</v>
      </c>
      <c r="AC39" s="349">
        <f t="shared" si="32"/>
        <v>0</v>
      </c>
      <c r="AD39" s="348"/>
      <c r="AE39" s="348"/>
      <c r="AF39" s="348"/>
      <c r="AG39" s="348"/>
      <c r="AH39" s="348"/>
      <c r="AI39" s="348"/>
      <c r="AJ39" s="348"/>
      <c r="AK39" s="348"/>
      <c r="AL39" s="354">
        <f t="shared" si="33"/>
        <v>0</v>
      </c>
      <c r="AM39" s="349">
        <f t="shared" si="33"/>
        <v>0</v>
      </c>
      <c r="AN39" s="352"/>
      <c r="AO39" s="348"/>
      <c r="AP39" s="352"/>
      <c r="AQ39" s="348"/>
      <c r="AR39" s="352"/>
      <c r="AS39" s="348"/>
      <c r="AT39" s="352"/>
      <c r="AU39" s="348"/>
      <c r="AV39" s="354">
        <f t="shared" si="34"/>
        <v>0</v>
      </c>
      <c r="AW39" s="349">
        <f t="shared" si="34"/>
        <v>0</v>
      </c>
      <c r="AX39" s="348"/>
      <c r="AY39" s="348"/>
      <c r="AZ39" s="348"/>
      <c r="BA39" s="348"/>
      <c r="BB39" s="349">
        <f t="shared" si="35"/>
        <v>0</v>
      </c>
      <c r="BC39" s="349">
        <f t="shared" si="35"/>
        <v>0</v>
      </c>
      <c r="BD39" s="348"/>
      <c r="BE39" s="348"/>
      <c r="BF39" s="348"/>
      <c r="BG39" s="348"/>
      <c r="BH39" s="349">
        <f t="shared" si="36"/>
        <v>0</v>
      </c>
      <c r="BI39" s="349">
        <f t="shared" si="36"/>
        <v>0</v>
      </c>
      <c r="BJ39" s="348"/>
      <c r="BK39" s="348"/>
      <c r="BL39" s="349">
        <f t="shared" si="37"/>
        <v>5490</v>
      </c>
      <c r="BM39" s="349">
        <f t="shared" si="38"/>
        <v>14600</v>
      </c>
    </row>
    <row r="40" spans="1:65" x14ac:dyDescent="0.25">
      <c r="A40" s="347" t="s">
        <v>50</v>
      </c>
      <c r="B40" s="352"/>
      <c r="C40" s="348"/>
      <c r="D40" s="349">
        <f>7260</f>
        <v>7260</v>
      </c>
      <c r="E40" s="349">
        <f>8000</f>
        <v>8000</v>
      </c>
      <c r="F40" s="352"/>
      <c r="G40" s="348"/>
      <c r="H40" s="348"/>
      <c r="I40" s="348"/>
      <c r="J40" s="352"/>
      <c r="K40" s="348"/>
      <c r="L40" s="352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54">
        <f t="shared" si="32"/>
        <v>0</v>
      </c>
      <c r="AC40" s="349">
        <f t="shared" si="32"/>
        <v>0</v>
      </c>
      <c r="AD40" s="348"/>
      <c r="AE40" s="348"/>
      <c r="AF40" s="348"/>
      <c r="AG40" s="348"/>
      <c r="AH40" s="348"/>
      <c r="AI40" s="348"/>
      <c r="AJ40" s="348"/>
      <c r="AK40" s="348"/>
      <c r="AL40" s="354">
        <f t="shared" si="33"/>
        <v>0</v>
      </c>
      <c r="AM40" s="349">
        <f t="shared" si="33"/>
        <v>0</v>
      </c>
      <c r="AN40" s="352"/>
      <c r="AO40" s="348"/>
      <c r="AP40" s="352"/>
      <c r="AQ40" s="348"/>
      <c r="AR40" s="352"/>
      <c r="AS40" s="348"/>
      <c r="AT40" s="352"/>
      <c r="AU40" s="348"/>
      <c r="AV40" s="354">
        <f t="shared" si="34"/>
        <v>0</v>
      </c>
      <c r="AW40" s="349">
        <f t="shared" si="34"/>
        <v>0</v>
      </c>
      <c r="AX40" s="348"/>
      <c r="AY40" s="348"/>
      <c r="AZ40" s="348"/>
      <c r="BA40" s="348"/>
      <c r="BB40" s="349">
        <f t="shared" si="35"/>
        <v>0</v>
      </c>
      <c r="BC40" s="349">
        <f t="shared" si="35"/>
        <v>0</v>
      </c>
      <c r="BD40" s="348"/>
      <c r="BE40" s="348"/>
      <c r="BF40" s="348"/>
      <c r="BG40" s="348"/>
      <c r="BH40" s="349">
        <f t="shared" si="36"/>
        <v>0</v>
      </c>
      <c r="BI40" s="349">
        <f t="shared" si="36"/>
        <v>0</v>
      </c>
      <c r="BJ40" s="348"/>
      <c r="BK40" s="348"/>
      <c r="BL40" s="349">
        <f t="shared" si="37"/>
        <v>7260</v>
      </c>
      <c r="BM40" s="349">
        <f t="shared" si="38"/>
        <v>8000</v>
      </c>
    </row>
    <row r="41" spans="1:65" x14ac:dyDescent="0.25">
      <c r="A41" s="347" t="s">
        <v>51</v>
      </c>
      <c r="B41" s="352"/>
      <c r="C41" s="348"/>
      <c r="D41" s="349">
        <f>100295</f>
        <v>100295</v>
      </c>
      <c r="E41" s="349">
        <f>96000</f>
        <v>96000</v>
      </c>
      <c r="F41" s="352"/>
      <c r="G41" s="348"/>
      <c r="H41" s="348"/>
      <c r="I41" s="348"/>
      <c r="J41" s="352"/>
      <c r="K41" s="348"/>
      <c r="L41" s="352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54">
        <f t="shared" si="32"/>
        <v>0</v>
      </c>
      <c r="AC41" s="349">
        <f t="shared" si="32"/>
        <v>0</v>
      </c>
      <c r="AD41" s="348"/>
      <c r="AE41" s="348"/>
      <c r="AF41" s="348"/>
      <c r="AG41" s="348"/>
      <c r="AH41" s="348"/>
      <c r="AI41" s="348"/>
      <c r="AJ41" s="348"/>
      <c r="AK41" s="348"/>
      <c r="AL41" s="354">
        <f t="shared" si="33"/>
        <v>0</v>
      </c>
      <c r="AM41" s="349">
        <f t="shared" si="33"/>
        <v>0</v>
      </c>
      <c r="AN41" s="352"/>
      <c r="AO41" s="348"/>
      <c r="AP41" s="352"/>
      <c r="AQ41" s="348"/>
      <c r="AR41" s="352"/>
      <c r="AS41" s="348"/>
      <c r="AT41" s="352"/>
      <c r="AU41" s="348"/>
      <c r="AV41" s="354">
        <f t="shared" si="34"/>
        <v>0</v>
      </c>
      <c r="AW41" s="349">
        <f t="shared" si="34"/>
        <v>0</v>
      </c>
      <c r="AX41" s="348"/>
      <c r="AY41" s="348"/>
      <c r="AZ41" s="348"/>
      <c r="BA41" s="348"/>
      <c r="BB41" s="349">
        <f t="shared" si="35"/>
        <v>0</v>
      </c>
      <c r="BC41" s="349">
        <f t="shared" si="35"/>
        <v>0</v>
      </c>
      <c r="BD41" s="348"/>
      <c r="BE41" s="348"/>
      <c r="BF41" s="348"/>
      <c r="BG41" s="348"/>
      <c r="BH41" s="349">
        <f t="shared" si="36"/>
        <v>0</v>
      </c>
      <c r="BI41" s="349">
        <f t="shared" si="36"/>
        <v>0</v>
      </c>
      <c r="BJ41" s="348"/>
      <c r="BK41" s="348"/>
      <c r="BL41" s="349">
        <f t="shared" si="37"/>
        <v>100295</v>
      </c>
      <c r="BM41" s="349">
        <f t="shared" si="38"/>
        <v>96000</v>
      </c>
    </row>
    <row r="42" spans="1:65" x14ac:dyDescent="0.25">
      <c r="A42" s="347" t="s">
        <v>52</v>
      </c>
      <c r="B42" s="352"/>
      <c r="C42" s="348"/>
      <c r="D42" s="349">
        <f>1355</f>
        <v>1355</v>
      </c>
      <c r="E42" s="349">
        <f>1150</f>
        <v>1150</v>
      </c>
      <c r="F42" s="352"/>
      <c r="G42" s="348"/>
      <c r="H42" s="348"/>
      <c r="I42" s="348"/>
      <c r="J42" s="352"/>
      <c r="K42" s="348"/>
      <c r="L42" s="352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54">
        <f t="shared" si="32"/>
        <v>0</v>
      </c>
      <c r="AC42" s="349">
        <f t="shared" si="32"/>
        <v>0</v>
      </c>
      <c r="AD42" s="348"/>
      <c r="AE42" s="348"/>
      <c r="AF42" s="348"/>
      <c r="AG42" s="348"/>
      <c r="AH42" s="348"/>
      <c r="AI42" s="348"/>
      <c r="AJ42" s="348"/>
      <c r="AK42" s="348"/>
      <c r="AL42" s="354">
        <f t="shared" si="33"/>
        <v>0</v>
      </c>
      <c r="AM42" s="349">
        <f t="shared" si="33"/>
        <v>0</v>
      </c>
      <c r="AN42" s="352"/>
      <c r="AO42" s="348"/>
      <c r="AP42" s="352"/>
      <c r="AQ42" s="348"/>
      <c r="AR42" s="352"/>
      <c r="AS42" s="348"/>
      <c r="AT42" s="352"/>
      <c r="AU42" s="348"/>
      <c r="AV42" s="354">
        <f t="shared" si="34"/>
        <v>0</v>
      </c>
      <c r="AW42" s="349">
        <f t="shared" si="34"/>
        <v>0</v>
      </c>
      <c r="AX42" s="348"/>
      <c r="AY42" s="348"/>
      <c r="AZ42" s="348"/>
      <c r="BA42" s="348"/>
      <c r="BB42" s="349">
        <f t="shared" si="35"/>
        <v>0</v>
      </c>
      <c r="BC42" s="349">
        <f t="shared" si="35"/>
        <v>0</v>
      </c>
      <c r="BD42" s="348"/>
      <c r="BE42" s="348"/>
      <c r="BF42" s="348"/>
      <c r="BG42" s="348"/>
      <c r="BH42" s="349">
        <f t="shared" si="36"/>
        <v>0</v>
      </c>
      <c r="BI42" s="349">
        <f t="shared" si="36"/>
        <v>0</v>
      </c>
      <c r="BJ42" s="348"/>
      <c r="BK42" s="348"/>
      <c r="BL42" s="349">
        <f t="shared" si="37"/>
        <v>1355</v>
      </c>
      <c r="BM42" s="349">
        <f t="shared" si="38"/>
        <v>1150</v>
      </c>
    </row>
    <row r="43" spans="1:65" x14ac:dyDescent="0.25">
      <c r="A43" s="347" t="s">
        <v>53</v>
      </c>
      <c r="B43" s="353">
        <f t="shared" ref="B43:AA43" si="44">((((B38)+(B39))+(B40))+(B41))+(B42)</f>
        <v>0</v>
      </c>
      <c r="C43" s="350">
        <f t="shared" si="44"/>
        <v>0</v>
      </c>
      <c r="D43" s="350">
        <f t="shared" si="44"/>
        <v>114400</v>
      </c>
      <c r="E43" s="350">
        <f t="shared" si="44"/>
        <v>119750</v>
      </c>
      <c r="F43" s="353">
        <f t="shared" si="44"/>
        <v>0</v>
      </c>
      <c r="G43" s="350">
        <f t="shared" si="44"/>
        <v>0</v>
      </c>
      <c r="H43" s="350">
        <f t="shared" si="44"/>
        <v>0</v>
      </c>
      <c r="I43" s="350">
        <f t="shared" si="44"/>
        <v>0</v>
      </c>
      <c r="J43" s="353">
        <f t="shared" si="44"/>
        <v>0</v>
      </c>
      <c r="K43" s="350">
        <f t="shared" si="44"/>
        <v>0</v>
      </c>
      <c r="L43" s="353">
        <f t="shared" ref="L43" si="45">((((L38)+(L39))+(L40))+(L41))+(L42)</f>
        <v>0</v>
      </c>
      <c r="M43" s="350">
        <f t="shared" ref="M43" si="46">((((M38)+(M39))+(M40))+(M41))+(M42)</f>
        <v>0</v>
      </c>
      <c r="N43" s="350">
        <f t="shared" si="44"/>
        <v>0</v>
      </c>
      <c r="O43" s="350">
        <f t="shared" si="44"/>
        <v>0</v>
      </c>
      <c r="P43" s="350">
        <f t="shared" si="44"/>
        <v>0</v>
      </c>
      <c r="Q43" s="350">
        <f t="shared" si="44"/>
        <v>0</v>
      </c>
      <c r="R43" s="350">
        <f t="shared" si="44"/>
        <v>0</v>
      </c>
      <c r="S43" s="350">
        <f t="shared" si="44"/>
        <v>0</v>
      </c>
      <c r="T43" s="350">
        <f t="shared" si="44"/>
        <v>0</v>
      </c>
      <c r="U43" s="350">
        <f t="shared" si="44"/>
        <v>0</v>
      </c>
      <c r="V43" s="350">
        <f t="shared" si="44"/>
        <v>0</v>
      </c>
      <c r="W43" s="350">
        <f t="shared" si="44"/>
        <v>0</v>
      </c>
      <c r="X43" s="350">
        <f t="shared" si="44"/>
        <v>0</v>
      </c>
      <c r="Y43" s="350">
        <f t="shared" si="44"/>
        <v>0</v>
      </c>
      <c r="Z43" s="350">
        <f t="shared" si="44"/>
        <v>0</v>
      </c>
      <c r="AA43" s="350">
        <f t="shared" si="44"/>
        <v>0</v>
      </c>
      <c r="AB43" s="353">
        <f t="shared" si="32"/>
        <v>0</v>
      </c>
      <c r="AC43" s="350">
        <f t="shared" si="32"/>
        <v>0</v>
      </c>
      <c r="AD43" s="350">
        <f t="shared" ref="AD43:AK43" si="47">((((AD38)+(AD39))+(AD40))+(AD41))+(AD42)</f>
        <v>0</v>
      </c>
      <c r="AE43" s="350">
        <f t="shared" si="47"/>
        <v>0</v>
      </c>
      <c r="AF43" s="350">
        <f t="shared" si="47"/>
        <v>0</v>
      </c>
      <c r="AG43" s="350">
        <f t="shared" si="47"/>
        <v>0</v>
      </c>
      <c r="AH43" s="350">
        <f t="shared" si="47"/>
        <v>0</v>
      </c>
      <c r="AI43" s="350">
        <f t="shared" si="47"/>
        <v>0</v>
      </c>
      <c r="AJ43" s="350">
        <f t="shared" si="47"/>
        <v>0</v>
      </c>
      <c r="AK43" s="350">
        <f t="shared" si="47"/>
        <v>0</v>
      </c>
      <c r="AL43" s="353">
        <f t="shared" si="33"/>
        <v>0</v>
      </c>
      <c r="AM43" s="350">
        <f t="shared" si="33"/>
        <v>0</v>
      </c>
      <c r="AN43" s="353">
        <f t="shared" ref="AN43:AU43" si="48">((((AN38)+(AN39))+(AN40))+(AN41))+(AN42)</f>
        <v>0</v>
      </c>
      <c r="AO43" s="350">
        <f t="shared" si="48"/>
        <v>0</v>
      </c>
      <c r="AP43" s="353">
        <f t="shared" si="48"/>
        <v>0</v>
      </c>
      <c r="AQ43" s="350">
        <f t="shared" si="48"/>
        <v>0</v>
      </c>
      <c r="AR43" s="353">
        <f t="shared" si="48"/>
        <v>0</v>
      </c>
      <c r="AS43" s="350">
        <f t="shared" si="48"/>
        <v>0</v>
      </c>
      <c r="AT43" s="353">
        <f t="shared" si="48"/>
        <v>0</v>
      </c>
      <c r="AU43" s="350">
        <f t="shared" si="48"/>
        <v>0</v>
      </c>
      <c r="AV43" s="353">
        <f t="shared" si="34"/>
        <v>0</v>
      </c>
      <c r="AW43" s="350">
        <f t="shared" si="34"/>
        <v>0</v>
      </c>
      <c r="AX43" s="350">
        <f>((((AX38)+(AX39))+(AX40))+(AX41))+(AX42)</f>
        <v>0</v>
      </c>
      <c r="AY43" s="350">
        <f>((((AY38)+(AY39))+(AY40))+(AY41))+(AY42)</f>
        <v>0</v>
      </c>
      <c r="AZ43" s="350">
        <f>((((AZ38)+(AZ39))+(AZ40))+(AZ41))+(AZ42)</f>
        <v>0</v>
      </c>
      <c r="BA43" s="350">
        <f>((((BA38)+(BA39))+(BA40))+(BA41))+(BA42)</f>
        <v>0</v>
      </c>
      <c r="BB43" s="350">
        <f t="shared" si="35"/>
        <v>0</v>
      </c>
      <c r="BC43" s="350">
        <f t="shared" si="35"/>
        <v>0</v>
      </c>
      <c r="BD43" s="350">
        <f>((((BD38)+(BD39))+(BD40))+(BD41))+(BD42)</f>
        <v>0</v>
      </c>
      <c r="BE43" s="350">
        <f>((((BE38)+(BE39))+(BE40))+(BE41))+(BE42)</f>
        <v>0</v>
      </c>
      <c r="BF43" s="350">
        <f>((((BF38)+(BF39))+(BF40))+(BF41))+(BF42)</f>
        <v>0</v>
      </c>
      <c r="BG43" s="350">
        <f>((((BG38)+(BG39))+(BG40))+(BG41))+(BG42)</f>
        <v>0</v>
      </c>
      <c r="BH43" s="350">
        <f t="shared" si="36"/>
        <v>0</v>
      </c>
      <c r="BI43" s="350">
        <f t="shared" si="36"/>
        <v>0</v>
      </c>
      <c r="BJ43" s="350">
        <f>((((BJ38)+(BJ39))+(BJ40))+(BJ41))+(BJ42)</f>
        <v>0</v>
      </c>
      <c r="BK43" s="350">
        <f>((((BK38)+(BK39))+(BK40))+(BK41))+(BK42)</f>
        <v>0</v>
      </c>
      <c r="BL43" s="350">
        <f t="shared" si="37"/>
        <v>114400</v>
      </c>
      <c r="BM43" s="350">
        <f t="shared" si="38"/>
        <v>119750</v>
      </c>
    </row>
    <row r="44" spans="1:65" x14ac:dyDescent="0.25">
      <c r="A44" s="347" t="s">
        <v>712</v>
      </c>
      <c r="B44" s="354">
        <f>37.63</f>
        <v>37.630000000000003</v>
      </c>
      <c r="C44" s="348"/>
      <c r="D44" s="348"/>
      <c r="E44" s="349">
        <f>2500</f>
        <v>2500</v>
      </c>
      <c r="F44" s="354">
        <f>15.66</f>
        <v>15.66</v>
      </c>
      <c r="G44" s="348"/>
      <c r="H44" s="348"/>
      <c r="I44" s="348"/>
      <c r="J44" s="354">
        <f>25.08</f>
        <v>25.08</v>
      </c>
      <c r="K44" s="348"/>
      <c r="L44" s="354">
        <f>25.08</f>
        <v>25.08</v>
      </c>
      <c r="M44" s="348"/>
      <c r="N44" s="349">
        <f>25.08</f>
        <v>25.08</v>
      </c>
      <c r="O44" s="349">
        <f>3500</f>
        <v>3500</v>
      </c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54">
        <f t="shared" si="32"/>
        <v>25.08</v>
      </c>
      <c r="AC44" s="349">
        <f t="shared" si="32"/>
        <v>3500</v>
      </c>
      <c r="AD44" s="349">
        <f>855.66</f>
        <v>855.66</v>
      </c>
      <c r="AE44" s="349">
        <f>583.6</f>
        <v>583.6</v>
      </c>
      <c r="AF44" s="348"/>
      <c r="AG44" s="348"/>
      <c r="AH44" s="349">
        <f>1680</f>
        <v>1680</v>
      </c>
      <c r="AI44" s="348"/>
      <c r="AJ44" s="348"/>
      <c r="AK44" s="348"/>
      <c r="AL44" s="354">
        <f t="shared" si="33"/>
        <v>2535.66</v>
      </c>
      <c r="AM44" s="349">
        <f t="shared" si="33"/>
        <v>583.6</v>
      </c>
      <c r="AN44" s="354">
        <f>10.98</f>
        <v>10.98</v>
      </c>
      <c r="AO44" s="349">
        <f>10704.95</f>
        <v>10704.95</v>
      </c>
      <c r="AP44" s="354">
        <f>15037.15</f>
        <v>15037.15</v>
      </c>
      <c r="AQ44" s="349">
        <f>15595.75</f>
        <v>15595.75</v>
      </c>
      <c r="AR44" s="354">
        <f>10.98</f>
        <v>10.98</v>
      </c>
      <c r="AS44" s="348"/>
      <c r="AT44" s="352"/>
      <c r="AU44" s="348"/>
      <c r="AV44" s="354">
        <f t="shared" si="34"/>
        <v>10.98</v>
      </c>
      <c r="AW44" s="349">
        <f t="shared" si="34"/>
        <v>0</v>
      </c>
      <c r="AX44" s="349">
        <f>6830.7</f>
        <v>6830.7</v>
      </c>
      <c r="AY44" s="348"/>
      <c r="AZ44" s="349">
        <f>3858.5</f>
        <v>3858.5</v>
      </c>
      <c r="BA44" s="349">
        <f>4800</f>
        <v>4800</v>
      </c>
      <c r="BB44" s="349">
        <f t="shared" si="35"/>
        <v>10689.2</v>
      </c>
      <c r="BC44" s="349">
        <f t="shared" si="35"/>
        <v>4800</v>
      </c>
      <c r="BD44" s="348"/>
      <c r="BE44" s="348"/>
      <c r="BF44" s="349">
        <f>3093.75</f>
        <v>3093.75</v>
      </c>
      <c r="BG44" s="348"/>
      <c r="BH44" s="349">
        <f t="shared" si="36"/>
        <v>3093.75</v>
      </c>
      <c r="BI44" s="349">
        <f t="shared" si="36"/>
        <v>0</v>
      </c>
      <c r="BJ44" s="348"/>
      <c r="BK44" s="348"/>
      <c r="BL44" s="349">
        <f t="shared" si="37"/>
        <v>31481.17</v>
      </c>
      <c r="BM44" s="349">
        <f t="shared" si="38"/>
        <v>37684.300000000003</v>
      </c>
    </row>
    <row r="45" spans="1:65" x14ac:dyDescent="0.25">
      <c r="A45" s="347" t="s">
        <v>713</v>
      </c>
      <c r="B45" s="352"/>
      <c r="C45" s="348"/>
      <c r="D45" s="348"/>
      <c r="E45" s="348"/>
      <c r="F45" s="352"/>
      <c r="G45" s="349">
        <f>3600</f>
        <v>3600</v>
      </c>
      <c r="H45" s="348"/>
      <c r="I45" s="348"/>
      <c r="J45" s="352"/>
      <c r="K45" s="348"/>
      <c r="L45" s="352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54">
        <f t="shared" si="32"/>
        <v>0</v>
      </c>
      <c r="AC45" s="349">
        <f t="shared" si="32"/>
        <v>0</v>
      </c>
      <c r="AD45" s="348"/>
      <c r="AE45" s="348"/>
      <c r="AF45" s="348"/>
      <c r="AG45" s="348"/>
      <c r="AH45" s="348"/>
      <c r="AI45" s="348"/>
      <c r="AJ45" s="348"/>
      <c r="AK45" s="348"/>
      <c r="AL45" s="354">
        <f t="shared" si="33"/>
        <v>0</v>
      </c>
      <c r="AM45" s="349">
        <f t="shared" si="33"/>
        <v>0</v>
      </c>
      <c r="AN45" s="352"/>
      <c r="AO45" s="348"/>
      <c r="AP45" s="352"/>
      <c r="AQ45" s="348"/>
      <c r="AR45" s="352"/>
      <c r="AS45" s="348"/>
      <c r="AT45" s="352"/>
      <c r="AU45" s="348"/>
      <c r="AV45" s="354">
        <f t="shared" si="34"/>
        <v>0</v>
      </c>
      <c r="AW45" s="349">
        <f t="shared" si="34"/>
        <v>0</v>
      </c>
      <c r="AX45" s="348"/>
      <c r="AY45" s="348"/>
      <c r="AZ45" s="348"/>
      <c r="BA45" s="348"/>
      <c r="BB45" s="349">
        <f t="shared" si="35"/>
        <v>0</v>
      </c>
      <c r="BC45" s="349">
        <f t="shared" si="35"/>
        <v>0</v>
      </c>
      <c r="BD45" s="348"/>
      <c r="BE45" s="348"/>
      <c r="BF45" s="348"/>
      <c r="BG45" s="348"/>
      <c r="BH45" s="349">
        <f t="shared" si="36"/>
        <v>0</v>
      </c>
      <c r="BI45" s="349">
        <f t="shared" si="36"/>
        <v>0</v>
      </c>
      <c r="BJ45" s="348"/>
      <c r="BK45" s="348"/>
      <c r="BL45" s="349">
        <f t="shared" si="37"/>
        <v>0</v>
      </c>
      <c r="BM45" s="349">
        <f t="shared" si="38"/>
        <v>3600</v>
      </c>
    </row>
    <row r="46" spans="1:65" x14ac:dyDescent="0.25">
      <c r="A46" s="347" t="s">
        <v>714</v>
      </c>
      <c r="B46" s="352"/>
      <c r="C46" s="348"/>
      <c r="D46" s="348"/>
      <c r="E46" s="348"/>
      <c r="F46" s="352"/>
      <c r="G46" s="348"/>
      <c r="H46" s="348"/>
      <c r="I46" s="348"/>
      <c r="J46" s="352"/>
      <c r="K46" s="348"/>
      <c r="L46" s="352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54">
        <f t="shared" si="32"/>
        <v>0</v>
      </c>
      <c r="AC46" s="349">
        <f t="shared" si="32"/>
        <v>0</v>
      </c>
      <c r="AD46" s="348"/>
      <c r="AE46" s="348"/>
      <c r="AF46" s="348"/>
      <c r="AG46" s="348"/>
      <c r="AH46" s="348"/>
      <c r="AI46" s="348"/>
      <c r="AJ46" s="348"/>
      <c r="AK46" s="348"/>
      <c r="AL46" s="354">
        <f t="shared" si="33"/>
        <v>0</v>
      </c>
      <c r="AM46" s="349">
        <f t="shared" si="33"/>
        <v>0</v>
      </c>
      <c r="AN46" s="352"/>
      <c r="AO46" s="348"/>
      <c r="AP46" s="352"/>
      <c r="AQ46" s="348"/>
      <c r="AR46" s="352"/>
      <c r="AS46" s="348"/>
      <c r="AT46" s="354">
        <f>125</f>
        <v>125</v>
      </c>
      <c r="AU46" s="348"/>
      <c r="AV46" s="354">
        <f t="shared" si="34"/>
        <v>125</v>
      </c>
      <c r="AW46" s="349">
        <f t="shared" si="34"/>
        <v>0</v>
      </c>
      <c r="AX46" s="348"/>
      <c r="AY46" s="348"/>
      <c r="AZ46" s="348"/>
      <c r="BA46" s="348"/>
      <c r="BB46" s="349">
        <f t="shared" si="35"/>
        <v>0</v>
      </c>
      <c r="BC46" s="349">
        <f t="shared" si="35"/>
        <v>0</v>
      </c>
      <c r="BD46" s="348"/>
      <c r="BE46" s="348"/>
      <c r="BF46" s="348"/>
      <c r="BG46" s="348"/>
      <c r="BH46" s="349">
        <f t="shared" si="36"/>
        <v>0</v>
      </c>
      <c r="BI46" s="349">
        <f t="shared" si="36"/>
        <v>0</v>
      </c>
      <c r="BJ46" s="348"/>
      <c r="BK46" s="348"/>
      <c r="BL46" s="349">
        <f t="shared" si="37"/>
        <v>125</v>
      </c>
      <c r="BM46" s="349">
        <f t="shared" si="38"/>
        <v>0</v>
      </c>
    </row>
    <row r="47" spans="1:65" x14ac:dyDescent="0.25">
      <c r="A47" s="347" t="s">
        <v>715</v>
      </c>
      <c r="B47" s="352"/>
      <c r="C47" s="348"/>
      <c r="D47" s="349">
        <f>1425</f>
        <v>1425</v>
      </c>
      <c r="E47" s="348"/>
      <c r="F47" s="352"/>
      <c r="G47" s="349">
        <f>1560</f>
        <v>1560</v>
      </c>
      <c r="H47" s="348"/>
      <c r="I47" s="348"/>
      <c r="J47" s="352"/>
      <c r="K47" s="348"/>
      <c r="L47" s="352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54">
        <f t="shared" si="32"/>
        <v>0</v>
      </c>
      <c r="AC47" s="349">
        <f t="shared" si="32"/>
        <v>0</v>
      </c>
      <c r="AD47" s="348"/>
      <c r="AE47" s="348"/>
      <c r="AF47" s="348"/>
      <c r="AG47" s="348"/>
      <c r="AH47" s="348"/>
      <c r="AI47" s="348"/>
      <c r="AJ47" s="348"/>
      <c r="AK47" s="348"/>
      <c r="AL47" s="354">
        <f t="shared" si="33"/>
        <v>0</v>
      </c>
      <c r="AM47" s="349">
        <f t="shared" si="33"/>
        <v>0</v>
      </c>
      <c r="AN47" s="352"/>
      <c r="AO47" s="348"/>
      <c r="AP47" s="352"/>
      <c r="AQ47" s="348"/>
      <c r="AR47" s="352"/>
      <c r="AS47" s="348"/>
      <c r="AT47" s="352"/>
      <c r="AU47" s="348"/>
      <c r="AV47" s="354">
        <f t="shared" si="34"/>
        <v>0</v>
      </c>
      <c r="AW47" s="349">
        <f t="shared" si="34"/>
        <v>0</v>
      </c>
      <c r="AX47" s="348"/>
      <c r="AY47" s="348"/>
      <c r="AZ47" s="348"/>
      <c r="BA47" s="348"/>
      <c r="BB47" s="349">
        <f t="shared" si="35"/>
        <v>0</v>
      </c>
      <c r="BC47" s="349">
        <f t="shared" si="35"/>
        <v>0</v>
      </c>
      <c r="BD47" s="348"/>
      <c r="BE47" s="348"/>
      <c r="BF47" s="348"/>
      <c r="BG47" s="348"/>
      <c r="BH47" s="349">
        <f t="shared" si="36"/>
        <v>0</v>
      </c>
      <c r="BI47" s="349">
        <f t="shared" si="36"/>
        <v>0</v>
      </c>
      <c r="BJ47" s="348"/>
      <c r="BK47" s="348"/>
      <c r="BL47" s="349">
        <f t="shared" si="37"/>
        <v>1425</v>
      </c>
      <c r="BM47" s="349">
        <f t="shared" si="38"/>
        <v>1560</v>
      </c>
    </row>
    <row r="48" spans="1:65" x14ac:dyDescent="0.25">
      <c r="A48" s="347" t="s">
        <v>716</v>
      </c>
      <c r="B48" s="353">
        <f t="shared" ref="B48:AA48" si="49">(((B44)+(B45))+(B46))+(B47)</f>
        <v>37.630000000000003</v>
      </c>
      <c r="C48" s="350">
        <f t="shared" si="49"/>
        <v>0</v>
      </c>
      <c r="D48" s="350">
        <f t="shared" si="49"/>
        <v>1425</v>
      </c>
      <c r="E48" s="350">
        <f t="shared" si="49"/>
        <v>2500</v>
      </c>
      <c r="F48" s="353">
        <f t="shared" si="49"/>
        <v>15.66</v>
      </c>
      <c r="G48" s="350">
        <f t="shared" si="49"/>
        <v>5160</v>
      </c>
      <c r="H48" s="350">
        <f t="shared" si="49"/>
        <v>0</v>
      </c>
      <c r="I48" s="350">
        <f t="shared" si="49"/>
        <v>0</v>
      </c>
      <c r="J48" s="353">
        <f t="shared" si="49"/>
        <v>25.08</v>
      </c>
      <c r="K48" s="350">
        <f t="shared" si="49"/>
        <v>0</v>
      </c>
      <c r="L48" s="353">
        <f t="shared" ref="L48" si="50">(((L44)+(L45))+(L46))+(L47)</f>
        <v>25.08</v>
      </c>
      <c r="M48" s="350">
        <f t="shared" ref="M48" si="51">(((M44)+(M45))+(M46))+(M47)</f>
        <v>0</v>
      </c>
      <c r="N48" s="350">
        <f t="shared" si="49"/>
        <v>25.08</v>
      </c>
      <c r="O48" s="350">
        <f t="shared" si="49"/>
        <v>3500</v>
      </c>
      <c r="P48" s="350">
        <f t="shared" si="49"/>
        <v>0</v>
      </c>
      <c r="Q48" s="350">
        <f t="shared" si="49"/>
        <v>0</v>
      </c>
      <c r="R48" s="350">
        <f t="shared" si="49"/>
        <v>0</v>
      </c>
      <c r="S48" s="350">
        <f t="shared" si="49"/>
        <v>0</v>
      </c>
      <c r="T48" s="350">
        <f t="shared" si="49"/>
        <v>0</v>
      </c>
      <c r="U48" s="350">
        <f t="shared" si="49"/>
        <v>0</v>
      </c>
      <c r="V48" s="350">
        <f t="shared" si="49"/>
        <v>0</v>
      </c>
      <c r="W48" s="350">
        <f t="shared" si="49"/>
        <v>0</v>
      </c>
      <c r="X48" s="350">
        <f t="shared" si="49"/>
        <v>0</v>
      </c>
      <c r="Y48" s="350">
        <f t="shared" si="49"/>
        <v>0</v>
      </c>
      <c r="Z48" s="350">
        <f t="shared" si="49"/>
        <v>0</v>
      </c>
      <c r="AA48" s="350">
        <f t="shared" si="49"/>
        <v>0</v>
      </c>
      <c r="AB48" s="353">
        <f t="shared" si="32"/>
        <v>25.08</v>
      </c>
      <c r="AC48" s="350">
        <f t="shared" si="32"/>
        <v>3500</v>
      </c>
      <c r="AD48" s="350">
        <f t="shared" ref="AD48:AK48" si="52">(((AD44)+(AD45))+(AD46))+(AD47)</f>
        <v>855.66</v>
      </c>
      <c r="AE48" s="350">
        <f t="shared" si="52"/>
        <v>583.6</v>
      </c>
      <c r="AF48" s="350">
        <f t="shared" si="52"/>
        <v>0</v>
      </c>
      <c r="AG48" s="350">
        <f t="shared" si="52"/>
        <v>0</v>
      </c>
      <c r="AH48" s="350">
        <f t="shared" si="52"/>
        <v>1680</v>
      </c>
      <c r="AI48" s="350">
        <f t="shared" si="52"/>
        <v>0</v>
      </c>
      <c r="AJ48" s="350">
        <f t="shared" si="52"/>
        <v>0</v>
      </c>
      <c r="AK48" s="350">
        <f t="shared" si="52"/>
        <v>0</v>
      </c>
      <c r="AL48" s="353">
        <f t="shared" si="33"/>
        <v>2535.66</v>
      </c>
      <c r="AM48" s="350">
        <f t="shared" si="33"/>
        <v>583.6</v>
      </c>
      <c r="AN48" s="353">
        <f t="shared" ref="AN48:AU48" si="53">(((AN44)+(AN45))+(AN46))+(AN47)</f>
        <v>10.98</v>
      </c>
      <c r="AO48" s="350">
        <f t="shared" si="53"/>
        <v>10704.95</v>
      </c>
      <c r="AP48" s="353">
        <f t="shared" si="53"/>
        <v>15037.15</v>
      </c>
      <c r="AQ48" s="350">
        <f t="shared" si="53"/>
        <v>15595.75</v>
      </c>
      <c r="AR48" s="353">
        <f t="shared" si="53"/>
        <v>10.98</v>
      </c>
      <c r="AS48" s="350">
        <f t="shared" si="53"/>
        <v>0</v>
      </c>
      <c r="AT48" s="353">
        <f t="shared" si="53"/>
        <v>125</v>
      </c>
      <c r="AU48" s="350">
        <f t="shared" si="53"/>
        <v>0</v>
      </c>
      <c r="AV48" s="353">
        <f t="shared" si="34"/>
        <v>135.97999999999999</v>
      </c>
      <c r="AW48" s="350">
        <f t="shared" si="34"/>
        <v>0</v>
      </c>
      <c r="AX48" s="350">
        <f>(((AX44)+(AX45))+(AX46))+(AX47)</f>
        <v>6830.7</v>
      </c>
      <c r="AY48" s="350">
        <f>(((AY44)+(AY45))+(AY46))+(AY47)</f>
        <v>0</v>
      </c>
      <c r="AZ48" s="350">
        <f>(((AZ44)+(AZ45))+(AZ46))+(AZ47)</f>
        <v>3858.5</v>
      </c>
      <c r="BA48" s="350">
        <f>(((BA44)+(BA45))+(BA46))+(BA47)</f>
        <v>4800</v>
      </c>
      <c r="BB48" s="350">
        <f t="shared" si="35"/>
        <v>10689.2</v>
      </c>
      <c r="BC48" s="350">
        <f t="shared" si="35"/>
        <v>4800</v>
      </c>
      <c r="BD48" s="350">
        <f>(((BD44)+(BD45))+(BD46))+(BD47)</f>
        <v>0</v>
      </c>
      <c r="BE48" s="350">
        <f>(((BE44)+(BE45))+(BE46))+(BE47)</f>
        <v>0</v>
      </c>
      <c r="BF48" s="350">
        <f>(((BF44)+(BF45))+(BF46))+(BF47)</f>
        <v>3093.75</v>
      </c>
      <c r="BG48" s="350">
        <f>(((BG44)+(BG45))+(BG46))+(BG47)</f>
        <v>0</v>
      </c>
      <c r="BH48" s="350">
        <f t="shared" si="36"/>
        <v>3093.75</v>
      </c>
      <c r="BI48" s="350">
        <f t="shared" si="36"/>
        <v>0</v>
      </c>
      <c r="BJ48" s="350">
        <f>(((BJ44)+(BJ45))+(BJ46))+(BJ47)</f>
        <v>0</v>
      </c>
      <c r="BK48" s="350">
        <f>(((BK44)+(BK45))+(BK46))+(BK47)</f>
        <v>0</v>
      </c>
      <c r="BL48" s="350">
        <f t="shared" si="37"/>
        <v>33031.17</v>
      </c>
      <c r="BM48" s="350">
        <f t="shared" si="38"/>
        <v>42844.3</v>
      </c>
    </row>
    <row r="49" spans="1:65" x14ac:dyDescent="0.25">
      <c r="A49" s="347" t="s">
        <v>59</v>
      </c>
      <c r="B49" s="354">
        <f>1681.11</f>
        <v>1681.11</v>
      </c>
      <c r="C49" s="348"/>
      <c r="D49" s="348"/>
      <c r="E49" s="348"/>
      <c r="F49" s="352"/>
      <c r="G49" s="348"/>
      <c r="H49" s="348"/>
      <c r="I49" s="348"/>
      <c r="J49" s="352"/>
      <c r="K49" s="348"/>
      <c r="L49" s="352"/>
      <c r="M49" s="348"/>
      <c r="N49" s="348"/>
      <c r="O49" s="349">
        <f>59600</f>
        <v>59600</v>
      </c>
      <c r="P49" s="349">
        <f>863.64</f>
        <v>863.64</v>
      </c>
      <c r="Q49" s="348"/>
      <c r="R49" s="349">
        <f>1970.84</f>
        <v>1970.84</v>
      </c>
      <c r="S49" s="348"/>
      <c r="T49" s="349">
        <f>4318.19</f>
        <v>4318.1899999999996</v>
      </c>
      <c r="U49" s="348"/>
      <c r="V49" s="349">
        <f>1000</f>
        <v>1000</v>
      </c>
      <c r="W49" s="348"/>
      <c r="X49" s="349">
        <f>2000</f>
        <v>2000</v>
      </c>
      <c r="Y49" s="348"/>
      <c r="Z49" s="348"/>
      <c r="AA49" s="348"/>
      <c r="AB49" s="354">
        <f t="shared" si="32"/>
        <v>10152.67</v>
      </c>
      <c r="AC49" s="349">
        <f t="shared" si="32"/>
        <v>59600</v>
      </c>
      <c r="AD49" s="349">
        <f>5166.96</f>
        <v>5166.96</v>
      </c>
      <c r="AE49" s="349">
        <f>41000</f>
        <v>41000</v>
      </c>
      <c r="AF49" s="348"/>
      <c r="AG49" s="348"/>
      <c r="AH49" s="349">
        <f>5440</f>
        <v>5440</v>
      </c>
      <c r="AI49" s="348"/>
      <c r="AJ49" s="349">
        <f>3877.46</f>
        <v>3877.46</v>
      </c>
      <c r="AK49" s="348"/>
      <c r="AL49" s="354">
        <f t="shared" si="33"/>
        <v>14484.419999999998</v>
      </c>
      <c r="AM49" s="349">
        <f t="shared" si="33"/>
        <v>41000</v>
      </c>
      <c r="AN49" s="352"/>
      <c r="AO49" s="348"/>
      <c r="AP49" s="352"/>
      <c r="AQ49" s="348"/>
      <c r="AR49" s="352"/>
      <c r="AS49" s="348"/>
      <c r="AT49" s="352"/>
      <c r="AU49" s="348"/>
      <c r="AV49" s="354">
        <f t="shared" si="34"/>
        <v>0</v>
      </c>
      <c r="AW49" s="349">
        <f t="shared" si="34"/>
        <v>0</v>
      </c>
      <c r="AX49" s="348"/>
      <c r="AY49" s="348"/>
      <c r="AZ49" s="348"/>
      <c r="BA49" s="348"/>
      <c r="BB49" s="349">
        <f t="shared" si="35"/>
        <v>0</v>
      </c>
      <c r="BC49" s="349">
        <f t="shared" si="35"/>
        <v>0</v>
      </c>
      <c r="BD49" s="348"/>
      <c r="BE49" s="348"/>
      <c r="BF49" s="348"/>
      <c r="BG49" s="348"/>
      <c r="BH49" s="349">
        <f t="shared" si="36"/>
        <v>0</v>
      </c>
      <c r="BI49" s="349">
        <f t="shared" si="36"/>
        <v>0</v>
      </c>
      <c r="BJ49" s="348"/>
      <c r="BK49" s="348"/>
      <c r="BL49" s="349">
        <f t="shared" si="37"/>
        <v>26318.199999999997</v>
      </c>
      <c r="BM49" s="349">
        <f t="shared" si="38"/>
        <v>100600</v>
      </c>
    </row>
    <row r="50" spans="1:65" x14ac:dyDescent="0.25">
      <c r="A50" s="347" t="s">
        <v>60</v>
      </c>
      <c r="B50" s="354">
        <f>3562.33</f>
        <v>3562.33</v>
      </c>
      <c r="C50" s="348"/>
      <c r="D50" s="349">
        <f>4374.43</f>
        <v>4374.43</v>
      </c>
      <c r="E50" s="349">
        <f>4700</f>
        <v>4700</v>
      </c>
      <c r="F50" s="354">
        <f>3778.08</f>
        <v>3778.08</v>
      </c>
      <c r="G50" s="349">
        <f>750</f>
        <v>750</v>
      </c>
      <c r="H50" s="348"/>
      <c r="I50" s="348"/>
      <c r="J50" s="354">
        <f>2023.69</f>
        <v>2023.69</v>
      </c>
      <c r="K50" s="348"/>
      <c r="L50" s="354">
        <f>2023.69</f>
        <v>2023.69</v>
      </c>
      <c r="M50" s="348"/>
      <c r="N50" s="349">
        <f>7702.52</f>
        <v>7702.52</v>
      </c>
      <c r="O50" s="349">
        <f>2700</f>
        <v>2700</v>
      </c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54">
        <f t="shared" si="32"/>
        <v>7702.52</v>
      </c>
      <c r="AC50" s="349">
        <f t="shared" si="32"/>
        <v>2700</v>
      </c>
      <c r="AD50" s="349">
        <f>932.95</f>
        <v>932.95</v>
      </c>
      <c r="AE50" s="349">
        <f>1262.58</f>
        <v>1262.58</v>
      </c>
      <c r="AF50" s="348"/>
      <c r="AG50" s="348"/>
      <c r="AH50" s="348"/>
      <c r="AI50" s="348"/>
      <c r="AJ50" s="348"/>
      <c r="AK50" s="348"/>
      <c r="AL50" s="354">
        <f t="shared" si="33"/>
        <v>932.95</v>
      </c>
      <c r="AM50" s="349">
        <f t="shared" si="33"/>
        <v>1262.58</v>
      </c>
      <c r="AN50" s="354">
        <f>1129.25</f>
        <v>1129.25</v>
      </c>
      <c r="AO50" s="348"/>
      <c r="AP50" s="354">
        <f>1115.14</f>
        <v>1115.1400000000001</v>
      </c>
      <c r="AQ50" s="348"/>
      <c r="AR50" s="354">
        <f>550.81</f>
        <v>550.80999999999995</v>
      </c>
      <c r="AS50" s="348"/>
      <c r="AT50" s="354">
        <f>32.64</f>
        <v>32.64</v>
      </c>
      <c r="AU50" s="348"/>
      <c r="AV50" s="354">
        <f t="shared" si="34"/>
        <v>583.44999999999993</v>
      </c>
      <c r="AW50" s="349">
        <f t="shared" si="34"/>
        <v>0</v>
      </c>
      <c r="AX50" s="349">
        <f>293.47</f>
        <v>293.47000000000003</v>
      </c>
      <c r="AY50" s="348"/>
      <c r="AZ50" s="349">
        <f>456.5</f>
        <v>456.5</v>
      </c>
      <c r="BA50" s="348"/>
      <c r="BB50" s="349">
        <f t="shared" si="35"/>
        <v>749.97</v>
      </c>
      <c r="BC50" s="349">
        <f t="shared" si="35"/>
        <v>0</v>
      </c>
      <c r="BD50" s="349">
        <f>163.04</f>
        <v>163.04</v>
      </c>
      <c r="BE50" s="348"/>
      <c r="BF50" s="348"/>
      <c r="BG50" s="348"/>
      <c r="BH50" s="349">
        <f t="shared" si="36"/>
        <v>163.04</v>
      </c>
      <c r="BI50" s="349">
        <f t="shared" si="36"/>
        <v>0</v>
      </c>
      <c r="BJ50" s="348"/>
      <c r="BK50" s="348"/>
      <c r="BL50" s="349">
        <f t="shared" si="37"/>
        <v>26114.850000000006</v>
      </c>
      <c r="BM50" s="349">
        <f t="shared" si="38"/>
        <v>9412.58</v>
      </c>
    </row>
    <row r="51" spans="1:65" x14ac:dyDescent="0.25">
      <c r="A51" s="347" t="s">
        <v>61</v>
      </c>
      <c r="B51" s="354">
        <f>989</f>
        <v>989</v>
      </c>
      <c r="C51" s="349">
        <f>3000</f>
        <v>3000</v>
      </c>
      <c r="D51" s="348"/>
      <c r="E51" s="348"/>
      <c r="F51" s="354">
        <f>983</f>
        <v>983</v>
      </c>
      <c r="G51" s="348"/>
      <c r="H51" s="348"/>
      <c r="I51" s="348"/>
      <c r="J51" s="352"/>
      <c r="K51" s="348"/>
      <c r="L51" s="352"/>
      <c r="M51" s="348"/>
      <c r="N51" s="349">
        <f>1376.2</f>
        <v>1376.2</v>
      </c>
      <c r="O51" s="349">
        <f>1800</f>
        <v>1800</v>
      </c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54">
        <f t="shared" si="32"/>
        <v>1376.2</v>
      </c>
      <c r="AC51" s="349">
        <f t="shared" si="32"/>
        <v>1800</v>
      </c>
      <c r="AD51" s="348"/>
      <c r="AE51" s="349">
        <f>1115.4</f>
        <v>1115.4000000000001</v>
      </c>
      <c r="AF51" s="348"/>
      <c r="AG51" s="348"/>
      <c r="AH51" s="348"/>
      <c r="AI51" s="348"/>
      <c r="AJ51" s="348"/>
      <c r="AK51" s="348"/>
      <c r="AL51" s="354">
        <f t="shared" si="33"/>
        <v>0</v>
      </c>
      <c r="AM51" s="349">
        <f t="shared" si="33"/>
        <v>1115.4000000000001</v>
      </c>
      <c r="AN51" s="354">
        <f>196.6</f>
        <v>196.6</v>
      </c>
      <c r="AO51" s="348"/>
      <c r="AP51" s="354">
        <f>196.6</f>
        <v>196.6</v>
      </c>
      <c r="AQ51" s="348"/>
      <c r="AR51" s="352"/>
      <c r="AS51" s="348"/>
      <c r="AT51" s="352"/>
      <c r="AU51" s="348"/>
      <c r="AV51" s="354">
        <f t="shared" si="34"/>
        <v>0</v>
      </c>
      <c r="AW51" s="349">
        <f t="shared" si="34"/>
        <v>0</v>
      </c>
      <c r="AX51" s="348"/>
      <c r="AY51" s="348"/>
      <c r="AZ51" s="349">
        <f>196.6</f>
        <v>196.6</v>
      </c>
      <c r="BA51" s="348"/>
      <c r="BB51" s="349">
        <f t="shared" si="35"/>
        <v>196.6</v>
      </c>
      <c r="BC51" s="349">
        <f t="shared" si="35"/>
        <v>0</v>
      </c>
      <c r="BD51" s="348"/>
      <c r="BE51" s="348"/>
      <c r="BF51" s="348"/>
      <c r="BG51" s="348"/>
      <c r="BH51" s="349">
        <f t="shared" si="36"/>
        <v>0</v>
      </c>
      <c r="BI51" s="349">
        <f t="shared" si="36"/>
        <v>0</v>
      </c>
      <c r="BJ51" s="348"/>
      <c r="BK51" s="348"/>
      <c r="BL51" s="349">
        <f t="shared" si="37"/>
        <v>3937.9999999999995</v>
      </c>
      <c r="BM51" s="349">
        <f t="shared" si="38"/>
        <v>5915.4</v>
      </c>
    </row>
    <row r="52" spans="1:65" x14ac:dyDescent="0.25">
      <c r="A52" s="347" t="s">
        <v>62</v>
      </c>
      <c r="B52" s="353">
        <f t="shared" ref="B52:AA52" si="54">((((((((B32)+(B35))+(B36))+(B37))+(B43))+(B48))+(B49))+(B50))+(B51)</f>
        <v>10761.42</v>
      </c>
      <c r="C52" s="350">
        <f t="shared" si="54"/>
        <v>3000</v>
      </c>
      <c r="D52" s="350">
        <f t="shared" si="54"/>
        <v>162938.43</v>
      </c>
      <c r="E52" s="350">
        <f t="shared" si="54"/>
        <v>146950</v>
      </c>
      <c r="F52" s="353">
        <f t="shared" si="54"/>
        <v>7728.28</v>
      </c>
      <c r="G52" s="350">
        <f t="shared" si="54"/>
        <v>8803.5</v>
      </c>
      <c r="H52" s="350">
        <f t="shared" si="54"/>
        <v>0</v>
      </c>
      <c r="I52" s="350">
        <f t="shared" si="54"/>
        <v>0</v>
      </c>
      <c r="J52" s="353">
        <f t="shared" si="54"/>
        <v>2048.77</v>
      </c>
      <c r="K52" s="350">
        <f t="shared" si="54"/>
        <v>0</v>
      </c>
      <c r="L52" s="353">
        <f t="shared" ref="L52" si="55">((((((((L32)+(L35))+(L36))+(L37))+(L43))+(L48))+(L49))+(L50))+(L51)</f>
        <v>2048.77</v>
      </c>
      <c r="M52" s="350">
        <f t="shared" ref="M52" si="56">((((((((M32)+(M35))+(M36))+(M37))+(M43))+(M48))+(M49))+(M50))+(M51)</f>
        <v>0</v>
      </c>
      <c r="N52" s="350">
        <f t="shared" si="54"/>
        <v>13722.100000000002</v>
      </c>
      <c r="O52" s="350">
        <f t="shared" si="54"/>
        <v>71920</v>
      </c>
      <c r="P52" s="350">
        <f t="shared" si="54"/>
        <v>863.64</v>
      </c>
      <c r="Q52" s="350">
        <f t="shared" si="54"/>
        <v>0</v>
      </c>
      <c r="R52" s="350">
        <f t="shared" si="54"/>
        <v>1970.84</v>
      </c>
      <c r="S52" s="350">
        <f t="shared" si="54"/>
        <v>0</v>
      </c>
      <c r="T52" s="350">
        <f t="shared" si="54"/>
        <v>4318.1899999999996</v>
      </c>
      <c r="U52" s="350">
        <f t="shared" si="54"/>
        <v>0</v>
      </c>
      <c r="V52" s="350">
        <f t="shared" si="54"/>
        <v>1000</v>
      </c>
      <c r="W52" s="350">
        <f t="shared" si="54"/>
        <v>0</v>
      </c>
      <c r="X52" s="350">
        <f t="shared" si="54"/>
        <v>2000</v>
      </c>
      <c r="Y52" s="350">
        <f t="shared" si="54"/>
        <v>0</v>
      </c>
      <c r="Z52" s="350">
        <f t="shared" si="54"/>
        <v>0</v>
      </c>
      <c r="AA52" s="350">
        <f t="shared" si="54"/>
        <v>0</v>
      </c>
      <c r="AB52" s="353">
        <f t="shared" si="32"/>
        <v>23874.77</v>
      </c>
      <c r="AC52" s="350">
        <f t="shared" si="32"/>
        <v>71920</v>
      </c>
      <c r="AD52" s="350">
        <f t="shared" ref="AD52:AK52" si="57">((((((((AD32)+(AD35))+(AD36))+(AD37))+(AD43))+(AD48))+(AD49))+(AD50))+(AD51)</f>
        <v>8946.0300000000007</v>
      </c>
      <c r="AE52" s="350">
        <f t="shared" si="57"/>
        <v>46447.58</v>
      </c>
      <c r="AF52" s="350">
        <f t="shared" si="57"/>
        <v>0</v>
      </c>
      <c r="AG52" s="350">
        <f t="shared" si="57"/>
        <v>0</v>
      </c>
      <c r="AH52" s="350">
        <f t="shared" si="57"/>
        <v>7120</v>
      </c>
      <c r="AI52" s="350">
        <f t="shared" si="57"/>
        <v>0</v>
      </c>
      <c r="AJ52" s="350">
        <f t="shared" si="57"/>
        <v>3877.46</v>
      </c>
      <c r="AK52" s="350">
        <f t="shared" si="57"/>
        <v>0</v>
      </c>
      <c r="AL52" s="353">
        <f t="shared" si="33"/>
        <v>19943.490000000002</v>
      </c>
      <c r="AM52" s="350">
        <f t="shared" si="33"/>
        <v>46447.58</v>
      </c>
      <c r="AN52" s="353">
        <f t="shared" ref="AN52:AU52" si="58">((((((((AN32)+(AN35))+(AN36))+(AN37))+(AN43))+(AN48))+(AN49))+(AN50))+(AN51)</f>
        <v>2398.2199999999998</v>
      </c>
      <c r="AO52" s="350">
        <f t="shared" si="58"/>
        <v>25228.09</v>
      </c>
      <c r="AP52" s="353">
        <f t="shared" si="58"/>
        <v>17189.23</v>
      </c>
      <c r="AQ52" s="350">
        <f t="shared" si="58"/>
        <v>18540.75</v>
      </c>
      <c r="AR52" s="353">
        <f t="shared" si="58"/>
        <v>561.79</v>
      </c>
      <c r="AS52" s="350">
        <f t="shared" si="58"/>
        <v>0</v>
      </c>
      <c r="AT52" s="353">
        <f t="shared" si="58"/>
        <v>157.63999999999999</v>
      </c>
      <c r="AU52" s="350">
        <f t="shared" si="58"/>
        <v>0</v>
      </c>
      <c r="AV52" s="353">
        <f t="shared" si="34"/>
        <v>719.43</v>
      </c>
      <c r="AW52" s="350">
        <f t="shared" si="34"/>
        <v>0</v>
      </c>
      <c r="AX52" s="350">
        <f>((((((((AX32)+(AX35))+(AX36))+(AX37))+(AX43))+(AX48))+(AX49))+(AX50))+(AX51)</f>
        <v>7196.17</v>
      </c>
      <c r="AY52" s="350">
        <f>((((((((AY32)+(AY35))+(AY36))+(AY37))+(AY43))+(AY48))+(AY49))+(AY50))+(AY51)</f>
        <v>0</v>
      </c>
      <c r="AZ52" s="350">
        <f>((((((((AZ32)+(AZ35))+(AZ36))+(AZ37))+(AZ43))+(AZ48))+(AZ49))+(AZ50))+(AZ51)</f>
        <v>4631.82</v>
      </c>
      <c r="BA52" s="350">
        <f>((((((((BA32)+(BA35))+(BA36))+(BA37))+(BA43))+(BA48))+(BA49))+(BA50))+(BA51)</f>
        <v>8000.5</v>
      </c>
      <c r="BB52" s="350">
        <f t="shared" si="35"/>
        <v>11827.99</v>
      </c>
      <c r="BC52" s="350">
        <f t="shared" si="35"/>
        <v>8000.5</v>
      </c>
      <c r="BD52" s="350">
        <f>((((((((BD32)+(BD35))+(BD36))+(BD37))+(BD43))+(BD48))+(BD49))+(BD50))+(BD51)</f>
        <v>163.04</v>
      </c>
      <c r="BE52" s="350">
        <f>((((((((BE32)+(BE35))+(BE36))+(BE37))+(BE43))+(BE48))+(BE49))+(BE50))+(BE51)</f>
        <v>0</v>
      </c>
      <c r="BF52" s="350">
        <f>((((((((BF32)+(BF35))+(BF36))+(BF37))+(BF43))+(BF48))+(BF49))+(BF50))+(BF51)</f>
        <v>3093.75</v>
      </c>
      <c r="BG52" s="350">
        <f>((((((((BG32)+(BG35))+(BG36))+(BG37))+(BG43))+(BG48))+(BG49))+(BG50))+(BG51)</f>
        <v>0</v>
      </c>
      <c r="BH52" s="350">
        <f t="shared" si="36"/>
        <v>3256.79</v>
      </c>
      <c r="BI52" s="350">
        <f t="shared" si="36"/>
        <v>0</v>
      </c>
      <c r="BJ52" s="350">
        <f>((((((((BJ32)+(BJ35))+(BJ36))+(BJ37))+(BJ43))+(BJ48))+(BJ49))+(BJ50))+(BJ51)</f>
        <v>0</v>
      </c>
      <c r="BK52" s="350">
        <f>((((((((BK32)+(BK35))+(BK36))+(BK37))+(BK43))+(BK48))+(BK49))+(BK50))+(BK51)</f>
        <v>0</v>
      </c>
      <c r="BL52" s="350">
        <f t="shared" si="37"/>
        <v>262686.81999999995</v>
      </c>
      <c r="BM52" s="350">
        <f t="shared" si="38"/>
        <v>328890.42000000004</v>
      </c>
    </row>
    <row r="53" spans="1:65" x14ac:dyDescent="0.25">
      <c r="A53" s="347" t="s">
        <v>63</v>
      </c>
      <c r="B53" s="352"/>
      <c r="C53" s="348"/>
      <c r="D53" s="348"/>
      <c r="E53" s="348"/>
      <c r="F53" s="352"/>
      <c r="G53" s="348"/>
      <c r="H53" s="348"/>
      <c r="I53" s="348"/>
      <c r="J53" s="352"/>
      <c r="K53" s="348"/>
      <c r="L53" s="352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54">
        <f t="shared" si="32"/>
        <v>0</v>
      </c>
      <c r="AC53" s="349">
        <f t="shared" si="32"/>
        <v>0</v>
      </c>
      <c r="AD53" s="348"/>
      <c r="AE53" s="348"/>
      <c r="AF53" s="348"/>
      <c r="AG53" s="348"/>
      <c r="AH53" s="348"/>
      <c r="AI53" s="348"/>
      <c r="AJ53" s="348"/>
      <c r="AK53" s="348"/>
      <c r="AL53" s="354">
        <f t="shared" si="33"/>
        <v>0</v>
      </c>
      <c r="AM53" s="349">
        <f t="shared" si="33"/>
        <v>0</v>
      </c>
      <c r="AN53" s="352"/>
      <c r="AO53" s="348"/>
      <c r="AP53" s="352"/>
      <c r="AQ53" s="348"/>
      <c r="AR53" s="352"/>
      <c r="AS53" s="348"/>
      <c r="AT53" s="352"/>
      <c r="AU53" s="348"/>
      <c r="AV53" s="354">
        <f t="shared" si="34"/>
        <v>0</v>
      </c>
      <c r="AW53" s="349">
        <f t="shared" si="34"/>
        <v>0</v>
      </c>
      <c r="AX53" s="348"/>
      <c r="AY53" s="348"/>
      <c r="AZ53" s="348"/>
      <c r="BA53" s="348"/>
      <c r="BB53" s="349">
        <f t="shared" si="35"/>
        <v>0</v>
      </c>
      <c r="BC53" s="349">
        <f t="shared" si="35"/>
        <v>0</v>
      </c>
      <c r="BD53" s="348"/>
      <c r="BE53" s="348"/>
      <c r="BF53" s="348"/>
      <c r="BG53" s="348"/>
      <c r="BH53" s="349">
        <f t="shared" si="36"/>
        <v>0</v>
      </c>
      <c r="BI53" s="349">
        <f t="shared" si="36"/>
        <v>0</v>
      </c>
      <c r="BJ53" s="348"/>
      <c r="BK53" s="348"/>
      <c r="BL53" s="349">
        <f t="shared" si="37"/>
        <v>0</v>
      </c>
      <c r="BM53" s="349">
        <f t="shared" si="38"/>
        <v>0</v>
      </c>
    </row>
    <row r="54" spans="1:65" x14ac:dyDescent="0.25">
      <c r="A54" s="347" t="s">
        <v>64</v>
      </c>
      <c r="B54" s="354">
        <f>84514</f>
        <v>84514</v>
      </c>
      <c r="C54" s="349">
        <f>7813</f>
        <v>7813</v>
      </c>
      <c r="D54" s="349">
        <f>52326.95</f>
        <v>52326.95</v>
      </c>
      <c r="E54" s="349">
        <f>58344</f>
        <v>58344</v>
      </c>
      <c r="F54" s="354">
        <f>52041.15</f>
        <v>52041.15</v>
      </c>
      <c r="G54" s="349">
        <f>81084.42</f>
        <v>81084.42</v>
      </c>
      <c r="H54" s="348"/>
      <c r="I54" s="348"/>
      <c r="J54" s="354">
        <f>15183.75</f>
        <v>15183.75</v>
      </c>
      <c r="K54" s="348"/>
      <c r="L54" s="354">
        <f>15183.75</f>
        <v>15183.75</v>
      </c>
      <c r="M54" s="348"/>
      <c r="N54" s="349">
        <f>43606.49</f>
        <v>43606.49</v>
      </c>
      <c r="O54" s="349">
        <f>88137.35</f>
        <v>88137.35</v>
      </c>
      <c r="P54" s="349">
        <f>634.15</f>
        <v>634.15</v>
      </c>
      <c r="Q54" s="348"/>
      <c r="R54" s="349">
        <f>537.99</f>
        <v>537.99</v>
      </c>
      <c r="S54" s="348"/>
      <c r="T54" s="349">
        <f>14039.3</f>
        <v>14039.3</v>
      </c>
      <c r="U54" s="348"/>
      <c r="V54" s="349">
        <f>12458.35</f>
        <v>12458.35</v>
      </c>
      <c r="W54" s="348"/>
      <c r="X54" s="349">
        <f>5226.22</f>
        <v>5226.22</v>
      </c>
      <c r="Y54" s="348"/>
      <c r="Z54" s="349">
        <f>7780.78</f>
        <v>7780.78</v>
      </c>
      <c r="AA54" s="348"/>
      <c r="AB54" s="354">
        <f t="shared" si="32"/>
        <v>84283.28</v>
      </c>
      <c r="AC54" s="349">
        <f t="shared" si="32"/>
        <v>88137.35</v>
      </c>
      <c r="AD54" s="349">
        <f>26216.61</f>
        <v>26216.61</v>
      </c>
      <c r="AE54" s="349">
        <f>44638.54</f>
        <v>44638.54</v>
      </c>
      <c r="AF54" s="349">
        <f>3124.18</f>
        <v>3124.18</v>
      </c>
      <c r="AG54" s="348"/>
      <c r="AH54" s="349">
        <f>9555.46</f>
        <v>9555.4599999999991</v>
      </c>
      <c r="AI54" s="348"/>
      <c r="AJ54" s="349">
        <f>2644.81</f>
        <v>2644.81</v>
      </c>
      <c r="AK54" s="348"/>
      <c r="AL54" s="354">
        <f t="shared" si="33"/>
        <v>41541.06</v>
      </c>
      <c r="AM54" s="349">
        <f t="shared" si="33"/>
        <v>44638.54</v>
      </c>
      <c r="AN54" s="354">
        <f>31860.09</f>
        <v>31860.09</v>
      </c>
      <c r="AO54" s="349">
        <f>22168.19</f>
        <v>22168.19</v>
      </c>
      <c r="AP54" s="354">
        <f>24317.8</f>
        <v>24317.8</v>
      </c>
      <c r="AQ54" s="349">
        <f>36911</f>
        <v>36911</v>
      </c>
      <c r="AR54" s="354">
        <f>3216.71</f>
        <v>3216.71</v>
      </c>
      <c r="AS54" s="348"/>
      <c r="AT54" s="352"/>
      <c r="AU54" s="348"/>
      <c r="AV54" s="354">
        <f t="shared" si="34"/>
        <v>3216.71</v>
      </c>
      <c r="AW54" s="349">
        <f t="shared" si="34"/>
        <v>0</v>
      </c>
      <c r="AX54" s="349">
        <f>3685.5</f>
        <v>3685.5</v>
      </c>
      <c r="AY54" s="348"/>
      <c r="AZ54" s="349">
        <f>12166.83</f>
        <v>12166.83</v>
      </c>
      <c r="BA54" s="349">
        <f>20800</f>
        <v>20800</v>
      </c>
      <c r="BB54" s="349">
        <f t="shared" si="35"/>
        <v>15852.33</v>
      </c>
      <c r="BC54" s="349">
        <f t="shared" si="35"/>
        <v>20800</v>
      </c>
      <c r="BD54" s="348"/>
      <c r="BE54" s="348"/>
      <c r="BF54" s="349">
        <f>14733</f>
        <v>14733</v>
      </c>
      <c r="BG54" s="348"/>
      <c r="BH54" s="349">
        <f t="shared" si="36"/>
        <v>14733</v>
      </c>
      <c r="BI54" s="349">
        <f t="shared" si="36"/>
        <v>0</v>
      </c>
      <c r="BJ54" s="348"/>
      <c r="BK54" s="348"/>
      <c r="BL54" s="349">
        <f t="shared" si="37"/>
        <v>419870.12000000005</v>
      </c>
      <c r="BM54" s="349">
        <f t="shared" si="38"/>
        <v>359896.5</v>
      </c>
    </row>
    <row r="55" spans="1:65" x14ac:dyDescent="0.25">
      <c r="A55" s="347" t="s">
        <v>717</v>
      </c>
      <c r="B55" s="354">
        <f>630</f>
        <v>630</v>
      </c>
      <c r="C55" s="348"/>
      <c r="D55" s="348"/>
      <c r="E55" s="348"/>
      <c r="F55" s="352"/>
      <c r="G55" s="348"/>
      <c r="H55" s="348"/>
      <c r="I55" s="348"/>
      <c r="J55" s="352"/>
      <c r="K55" s="348"/>
      <c r="L55" s="352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54">
        <f t="shared" si="32"/>
        <v>0</v>
      </c>
      <c r="AC55" s="349">
        <f t="shared" si="32"/>
        <v>0</v>
      </c>
      <c r="AD55" s="348"/>
      <c r="AE55" s="348"/>
      <c r="AF55" s="348"/>
      <c r="AG55" s="348"/>
      <c r="AH55" s="348"/>
      <c r="AI55" s="348"/>
      <c r="AJ55" s="348"/>
      <c r="AK55" s="348"/>
      <c r="AL55" s="354">
        <f t="shared" si="33"/>
        <v>0</v>
      </c>
      <c r="AM55" s="349">
        <f t="shared" si="33"/>
        <v>0</v>
      </c>
      <c r="AN55" s="352"/>
      <c r="AO55" s="348"/>
      <c r="AP55" s="352"/>
      <c r="AQ55" s="348"/>
      <c r="AR55" s="352"/>
      <c r="AS55" s="348"/>
      <c r="AT55" s="352"/>
      <c r="AU55" s="348"/>
      <c r="AV55" s="354">
        <f t="shared" si="34"/>
        <v>0</v>
      </c>
      <c r="AW55" s="349">
        <f t="shared" si="34"/>
        <v>0</v>
      </c>
      <c r="AX55" s="348"/>
      <c r="AY55" s="348"/>
      <c r="AZ55" s="348"/>
      <c r="BA55" s="348"/>
      <c r="BB55" s="349">
        <f t="shared" si="35"/>
        <v>0</v>
      </c>
      <c r="BC55" s="349">
        <f t="shared" si="35"/>
        <v>0</v>
      </c>
      <c r="BD55" s="348"/>
      <c r="BE55" s="348"/>
      <c r="BF55" s="348"/>
      <c r="BG55" s="348"/>
      <c r="BH55" s="349">
        <f t="shared" si="36"/>
        <v>0</v>
      </c>
      <c r="BI55" s="349">
        <f t="shared" si="36"/>
        <v>0</v>
      </c>
      <c r="BJ55" s="348"/>
      <c r="BK55" s="348"/>
      <c r="BL55" s="349">
        <f t="shared" si="37"/>
        <v>630</v>
      </c>
      <c r="BM55" s="349">
        <f t="shared" si="38"/>
        <v>0</v>
      </c>
    </row>
    <row r="56" spans="1:65" x14ac:dyDescent="0.25">
      <c r="A56" s="347" t="s">
        <v>718</v>
      </c>
      <c r="B56" s="354">
        <f>361.34</f>
        <v>361.34</v>
      </c>
      <c r="C56" s="348"/>
      <c r="D56" s="349">
        <f>994.53</f>
        <v>994.53</v>
      </c>
      <c r="E56" s="348"/>
      <c r="F56" s="354">
        <f>2554.99</f>
        <v>2554.9899999999998</v>
      </c>
      <c r="G56" s="348"/>
      <c r="H56" s="348"/>
      <c r="I56" s="348"/>
      <c r="J56" s="354">
        <f>517.22</f>
        <v>517.22</v>
      </c>
      <c r="K56" s="348"/>
      <c r="L56" s="354">
        <f>517.22</f>
        <v>517.22</v>
      </c>
      <c r="M56" s="348"/>
      <c r="N56" s="349">
        <f>1316.27</f>
        <v>1316.27</v>
      </c>
      <c r="O56" s="348"/>
      <c r="P56" s="349">
        <f>19.55</f>
        <v>19.55</v>
      </c>
      <c r="Q56" s="348"/>
      <c r="R56" s="349">
        <f>19.55</f>
        <v>19.55</v>
      </c>
      <c r="S56" s="348"/>
      <c r="T56" s="349">
        <f>469.93</f>
        <v>469.93</v>
      </c>
      <c r="U56" s="348"/>
      <c r="V56" s="349">
        <f>289.96</f>
        <v>289.95999999999998</v>
      </c>
      <c r="W56" s="348"/>
      <c r="X56" s="349">
        <f>131.44</f>
        <v>131.44</v>
      </c>
      <c r="Y56" s="348"/>
      <c r="Z56" s="349">
        <f>152.73</f>
        <v>152.72999999999999</v>
      </c>
      <c r="AA56" s="348"/>
      <c r="AB56" s="354">
        <f t="shared" si="32"/>
        <v>2399.4299999999998</v>
      </c>
      <c r="AC56" s="349">
        <f t="shared" si="32"/>
        <v>0</v>
      </c>
      <c r="AD56" s="349">
        <f>531.49</f>
        <v>531.49</v>
      </c>
      <c r="AE56" s="348"/>
      <c r="AF56" s="349">
        <f>72.37</f>
        <v>72.37</v>
      </c>
      <c r="AG56" s="348"/>
      <c r="AH56" s="349">
        <f>190</f>
        <v>190</v>
      </c>
      <c r="AI56" s="348"/>
      <c r="AJ56" s="349">
        <f>29.86</f>
        <v>29.86</v>
      </c>
      <c r="AK56" s="348"/>
      <c r="AL56" s="354">
        <f t="shared" si="33"/>
        <v>823.72</v>
      </c>
      <c r="AM56" s="349">
        <f t="shared" si="33"/>
        <v>0</v>
      </c>
      <c r="AN56" s="354">
        <f>1667.41</f>
        <v>1667.41</v>
      </c>
      <c r="AO56" s="348"/>
      <c r="AP56" s="354">
        <f>738.97</f>
        <v>738.97</v>
      </c>
      <c r="AQ56" s="348"/>
      <c r="AR56" s="354">
        <f>170.78</f>
        <v>170.78</v>
      </c>
      <c r="AS56" s="348"/>
      <c r="AT56" s="352"/>
      <c r="AU56" s="348"/>
      <c r="AV56" s="354">
        <f t="shared" si="34"/>
        <v>170.78</v>
      </c>
      <c r="AW56" s="349">
        <f t="shared" si="34"/>
        <v>0</v>
      </c>
      <c r="AX56" s="349">
        <f>207.48</f>
        <v>207.48</v>
      </c>
      <c r="AY56" s="348"/>
      <c r="AZ56" s="349">
        <f>169.57</f>
        <v>169.57</v>
      </c>
      <c r="BA56" s="348"/>
      <c r="BB56" s="349">
        <f t="shared" si="35"/>
        <v>377.04999999999995</v>
      </c>
      <c r="BC56" s="349">
        <f t="shared" si="35"/>
        <v>0</v>
      </c>
      <c r="BD56" s="348"/>
      <c r="BE56" s="348"/>
      <c r="BF56" s="349">
        <f>350.03</f>
        <v>350.03</v>
      </c>
      <c r="BG56" s="348"/>
      <c r="BH56" s="349">
        <f t="shared" si="36"/>
        <v>350.03</v>
      </c>
      <c r="BI56" s="349">
        <f t="shared" si="36"/>
        <v>0</v>
      </c>
      <c r="BJ56" s="348"/>
      <c r="BK56" s="348"/>
      <c r="BL56" s="349">
        <f t="shared" si="37"/>
        <v>10955.470000000001</v>
      </c>
      <c r="BM56" s="349">
        <f t="shared" si="38"/>
        <v>0</v>
      </c>
    </row>
    <row r="57" spans="1:65" x14ac:dyDescent="0.25">
      <c r="A57" s="347" t="s">
        <v>719</v>
      </c>
      <c r="B57" s="354">
        <f>500</f>
        <v>500</v>
      </c>
      <c r="C57" s="348"/>
      <c r="D57" s="348"/>
      <c r="E57" s="348"/>
      <c r="F57" s="352"/>
      <c r="G57" s="348"/>
      <c r="H57" s="348"/>
      <c r="I57" s="348"/>
      <c r="J57" s="352"/>
      <c r="K57" s="348"/>
      <c r="L57" s="352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54">
        <f t="shared" si="32"/>
        <v>0</v>
      </c>
      <c r="AC57" s="349">
        <f t="shared" si="32"/>
        <v>0</v>
      </c>
      <c r="AD57" s="348"/>
      <c r="AE57" s="348"/>
      <c r="AF57" s="348"/>
      <c r="AG57" s="348"/>
      <c r="AH57" s="348"/>
      <c r="AI57" s="348"/>
      <c r="AJ57" s="348"/>
      <c r="AK57" s="348"/>
      <c r="AL57" s="354">
        <f t="shared" si="33"/>
        <v>0</v>
      </c>
      <c r="AM57" s="349">
        <f t="shared" si="33"/>
        <v>0</v>
      </c>
      <c r="AN57" s="352"/>
      <c r="AO57" s="348"/>
      <c r="AP57" s="354">
        <f>5750</f>
        <v>5750</v>
      </c>
      <c r="AQ57" s="349">
        <f>6500</f>
        <v>6500</v>
      </c>
      <c r="AR57" s="352"/>
      <c r="AS57" s="348"/>
      <c r="AT57" s="352"/>
      <c r="AU57" s="348"/>
      <c r="AV57" s="354">
        <f t="shared" si="34"/>
        <v>0</v>
      </c>
      <c r="AW57" s="349">
        <f t="shared" si="34"/>
        <v>0</v>
      </c>
      <c r="AX57" s="348"/>
      <c r="AY57" s="348"/>
      <c r="AZ57" s="348"/>
      <c r="BA57" s="348"/>
      <c r="BB57" s="349">
        <f t="shared" si="35"/>
        <v>0</v>
      </c>
      <c r="BC57" s="349">
        <f t="shared" si="35"/>
        <v>0</v>
      </c>
      <c r="BD57" s="348"/>
      <c r="BE57" s="348"/>
      <c r="BF57" s="348"/>
      <c r="BG57" s="348"/>
      <c r="BH57" s="349">
        <f t="shared" si="36"/>
        <v>0</v>
      </c>
      <c r="BI57" s="349">
        <f t="shared" si="36"/>
        <v>0</v>
      </c>
      <c r="BJ57" s="348"/>
      <c r="BK57" s="348"/>
      <c r="BL57" s="349">
        <f t="shared" si="37"/>
        <v>6250</v>
      </c>
      <c r="BM57" s="349">
        <f t="shared" si="38"/>
        <v>6500</v>
      </c>
    </row>
    <row r="58" spans="1:65" x14ac:dyDescent="0.25">
      <c r="A58" s="347" t="s">
        <v>720</v>
      </c>
      <c r="B58" s="354">
        <f>234.21</f>
        <v>234.21</v>
      </c>
      <c r="C58" s="348"/>
      <c r="D58" s="348"/>
      <c r="E58" s="348"/>
      <c r="F58" s="354">
        <f>713.49</f>
        <v>713.49</v>
      </c>
      <c r="G58" s="348"/>
      <c r="H58" s="348"/>
      <c r="I58" s="348"/>
      <c r="J58" s="352"/>
      <c r="K58" s="348"/>
      <c r="L58" s="352"/>
      <c r="M58" s="348"/>
      <c r="N58" s="349">
        <f>168.84</f>
        <v>168.84</v>
      </c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54">
        <f t="shared" si="32"/>
        <v>168.84</v>
      </c>
      <c r="AC58" s="349">
        <f t="shared" si="32"/>
        <v>0</v>
      </c>
      <c r="AD58" s="349">
        <f>81.68</f>
        <v>81.680000000000007</v>
      </c>
      <c r="AE58" s="348"/>
      <c r="AF58" s="348"/>
      <c r="AG58" s="348"/>
      <c r="AH58" s="348"/>
      <c r="AI58" s="348"/>
      <c r="AJ58" s="348"/>
      <c r="AK58" s="348"/>
      <c r="AL58" s="354">
        <f t="shared" si="33"/>
        <v>81.680000000000007</v>
      </c>
      <c r="AM58" s="349">
        <f t="shared" si="33"/>
        <v>0</v>
      </c>
      <c r="AN58" s="354">
        <f>980.38</f>
        <v>980.38</v>
      </c>
      <c r="AO58" s="348"/>
      <c r="AP58" s="352"/>
      <c r="AQ58" s="348"/>
      <c r="AR58" s="352"/>
      <c r="AS58" s="348"/>
      <c r="AT58" s="352"/>
      <c r="AU58" s="348"/>
      <c r="AV58" s="354">
        <f t="shared" si="34"/>
        <v>0</v>
      </c>
      <c r="AW58" s="349">
        <f t="shared" si="34"/>
        <v>0</v>
      </c>
      <c r="AX58" s="348"/>
      <c r="AY58" s="348"/>
      <c r="AZ58" s="348"/>
      <c r="BA58" s="348"/>
      <c r="BB58" s="349">
        <f t="shared" si="35"/>
        <v>0</v>
      </c>
      <c r="BC58" s="349">
        <f t="shared" si="35"/>
        <v>0</v>
      </c>
      <c r="BD58" s="348"/>
      <c r="BE58" s="348"/>
      <c r="BF58" s="348"/>
      <c r="BG58" s="348"/>
      <c r="BH58" s="349">
        <f t="shared" si="36"/>
        <v>0</v>
      </c>
      <c r="BI58" s="349">
        <f t="shared" si="36"/>
        <v>0</v>
      </c>
      <c r="BJ58" s="348"/>
      <c r="BK58" s="348"/>
      <c r="BL58" s="349">
        <f t="shared" si="37"/>
        <v>2178.6</v>
      </c>
      <c r="BM58" s="349">
        <f t="shared" si="38"/>
        <v>0</v>
      </c>
    </row>
    <row r="59" spans="1:65" x14ac:dyDescent="0.25">
      <c r="A59" s="347" t="s">
        <v>68</v>
      </c>
      <c r="B59" s="353">
        <f t="shared" ref="B59:AA59" si="59">((((B54)+(B55))+(B56))+(B57))+(B58)</f>
        <v>86239.55</v>
      </c>
      <c r="C59" s="350">
        <f t="shared" si="59"/>
        <v>7813</v>
      </c>
      <c r="D59" s="350">
        <f t="shared" si="59"/>
        <v>53321.479999999996</v>
      </c>
      <c r="E59" s="350">
        <f t="shared" si="59"/>
        <v>58344</v>
      </c>
      <c r="F59" s="353">
        <f t="shared" si="59"/>
        <v>55309.63</v>
      </c>
      <c r="G59" s="350">
        <f t="shared" si="59"/>
        <v>81084.42</v>
      </c>
      <c r="H59" s="350">
        <f t="shared" si="59"/>
        <v>0</v>
      </c>
      <c r="I59" s="350">
        <f t="shared" si="59"/>
        <v>0</v>
      </c>
      <c r="J59" s="353">
        <f t="shared" si="59"/>
        <v>15700.97</v>
      </c>
      <c r="K59" s="350">
        <f t="shared" si="59"/>
        <v>0</v>
      </c>
      <c r="L59" s="353">
        <f t="shared" ref="L59" si="60">((((L54)+(L55))+(L56))+(L57))+(L58)</f>
        <v>15700.97</v>
      </c>
      <c r="M59" s="350">
        <f t="shared" ref="M59" si="61">((((M54)+(M55))+(M56))+(M57))+(M58)</f>
        <v>0</v>
      </c>
      <c r="N59" s="350">
        <f t="shared" si="59"/>
        <v>45091.599999999991</v>
      </c>
      <c r="O59" s="350">
        <f t="shared" si="59"/>
        <v>88137.35</v>
      </c>
      <c r="P59" s="350">
        <f t="shared" si="59"/>
        <v>653.69999999999993</v>
      </c>
      <c r="Q59" s="350">
        <f t="shared" si="59"/>
        <v>0</v>
      </c>
      <c r="R59" s="350">
        <f t="shared" si="59"/>
        <v>557.54</v>
      </c>
      <c r="S59" s="350">
        <f t="shared" si="59"/>
        <v>0</v>
      </c>
      <c r="T59" s="350">
        <f t="shared" si="59"/>
        <v>14509.23</v>
      </c>
      <c r="U59" s="350">
        <f t="shared" si="59"/>
        <v>0</v>
      </c>
      <c r="V59" s="350">
        <f t="shared" si="59"/>
        <v>12748.31</v>
      </c>
      <c r="W59" s="350">
        <f t="shared" si="59"/>
        <v>0</v>
      </c>
      <c r="X59" s="350">
        <f t="shared" si="59"/>
        <v>5357.66</v>
      </c>
      <c r="Y59" s="350">
        <f t="shared" si="59"/>
        <v>0</v>
      </c>
      <c r="Z59" s="350">
        <f t="shared" si="59"/>
        <v>7933.5099999999993</v>
      </c>
      <c r="AA59" s="350">
        <f t="shared" si="59"/>
        <v>0</v>
      </c>
      <c r="AB59" s="353">
        <f t="shared" si="32"/>
        <v>86851.549999999988</v>
      </c>
      <c r="AC59" s="350">
        <f t="shared" si="32"/>
        <v>88137.35</v>
      </c>
      <c r="AD59" s="350">
        <f t="shared" ref="AD59:AK59" si="62">((((AD54)+(AD55))+(AD56))+(AD57))+(AD58)</f>
        <v>26829.780000000002</v>
      </c>
      <c r="AE59" s="350">
        <f t="shared" si="62"/>
        <v>44638.54</v>
      </c>
      <c r="AF59" s="350">
        <f t="shared" si="62"/>
        <v>3196.5499999999997</v>
      </c>
      <c r="AG59" s="350">
        <f t="shared" si="62"/>
        <v>0</v>
      </c>
      <c r="AH59" s="350">
        <f t="shared" si="62"/>
        <v>9745.4599999999991</v>
      </c>
      <c r="AI59" s="350">
        <f t="shared" si="62"/>
        <v>0</v>
      </c>
      <c r="AJ59" s="350">
        <f t="shared" si="62"/>
        <v>2674.67</v>
      </c>
      <c r="AK59" s="350">
        <f t="shared" si="62"/>
        <v>0</v>
      </c>
      <c r="AL59" s="353">
        <f t="shared" si="33"/>
        <v>42446.46</v>
      </c>
      <c r="AM59" s="350">
        <f t="shared" si="33"/>
        <v>44638.54</v>
      </c>
      <c r="AN59" s="353">
        <f t="shared" ref="AN59:AU59" si="63">((((AN54)+(AN55))+(AN56))+(AN57))+(AN58)</f>
        <v>34507.879999999997</v>
      </c>
      <c r="AO59" s="350">
        <f t="shared" si="63"/>
        <v>22168.19</v>
      </c>
      <c r="AP59" s="353">
        <f t="shared" si="63"/>
        <v>30806.77</v>
      </c>
      <c r="AQ59" s="350">
        <f t="shared" si="63"/>
        <v>43411</v>
      </c>
      <c r="AR59" s="353">
        <f t="shared" si="63"/>
        <v>3387.4900000000002</v>
      </c>
      <c r="AS59" s="350">
        <f t="shared" si="63"/>
        <v>0</v>
      </c>
      <c r="AT59" s="353">
        <f t="shared" si="63"/>
        <v>0</v>
      </c>
      <c r="AU59" s="350">
        <f t="shared" si="63"/>
        <v>0</v>
      </c>
      <c r="AV59" s="353">
        <f t="shared" si="34"/>
        <v>3387.4900000000002</v>
      </c>
      <c r="AW59" s="350">
        <f t="shared" si="34"/>
        <v>0</v>
      </c>
      <c r="AX59" s="350">
        <f>((((AX54)+(AX55))+(AX56))+(AX57))+(AX58)</f>
        <v>3892.98</v>
      </c>
      <c r="AY59" s="350">
        <f>((((AY54)+(AY55))+(AY56))+(AY57))+(AY58)</f>
        <v>0</v>
      </c>
      <c r="AZ59" s="350">
        <f>((((AZ54)+(AZ55))+(AZ56))+(AZ57))+(AZ58)</f>
        <v>12336.4</v>
      </c>
      <c r="BA59" s="350">
        <f>((((BA54)+(BA55))+(BA56))+(BA57))+(BA58)</f>
        <v>20800</v>
      </c>
      <c r="BB59" s="350">
        <f t="shared" si="35"/>
        <v>16229.38</v>
      </c>
      <c r="BC59" s="350">
        <f t="shared" si="35"/>
        <v>20800</v>
      </c>
      <c r="BD59" s="350">
        <f>((((BD54)+(BD55))+(BD56))+(BD57))+(BD58)</f>
        <v>0</v>
      </c>
      <c r="BE59" s="350">
        <f>((((BE54)+(BE55))+(BE56))+(BE57))+(BE58)</f>
        <v>0</v>
      </c>
      <c r="BF59" s="350">
        <f>((((BF54)+(BF55))+(BF56))+(BF57))+(BF58)</f>
        <v>15083.03</v>
      </c>
      <c r="BG59" s="350">
        <f>((((BG54)+(BG55))+(BG56))+(BG57))+(BG58)</f>
        <v>0</v>
      </c>
      <c r="BH59" s="350">
        <f t="shared" si="36"/>
        <v>15083.03</v>
      </c>
      <c r="BI59" s="350">
        <f t="shared" si="36"/>
        <v>0</v>
      </c>
      <c r="BJ59" s="350">
        <f>((((BJ54)+(BJ55))+(BJ56))+(BJ57))+(BJ58)</f>
        <v>0</v>
      </c>
      <c r="BK59" s="350">
        <f>((((BK54)+(BK55))+(BK56))+(BK57))+(BK58)</f>
        <v>0</v>
      </c>
      <c r="BL59" s="350">
        <f t="shared" si="37"/>
        <v>439884.19000000006</v>
      </c>
      <c r="BM59" s="350">
        <f t="shared" si="38"/>
        <v>366396.5</v>
      </c>
    </row>
    <row r="60" spans="1:65" x14ac:dyDescent="0.25">
      <c r="A60" s="347" t="s">
        <v>69</v>
      </c>
      <c r="B60" s="354">
        <f>5308.22</f>
        <v>5308.22</v>
      </c>
      <c r="C60" s="349">
        <f>1484.47</f>
        <v>1484.47</v>
      </c>
      <c r="D60" s="349">
        <f>4387.46</f>
        <v>4387.46</v>
      </c>
      <c r="E60" s="349">
        <f>5542.68</f>
        <v>5542.68</v>
      </c>
      <c r="F60" s="354">
        <f>4415.55</f>
        <v>4415.55</v>
      </c>
      <c r="G60" s="349">
        <f>6202.96</f>
        <v>6202.96</v>
      </c>
      <c r="H60" s="348"/>
      <c r="I60" s="348"/>
      <c r="J60" s="354">
        <f>1267.95</f>
        <v>1267.95</v>
      </c>
      <c r="K60" s="348"/>
      <c r="L60" s="354">
        <f>1267.95</f>
        <v>1267.95</v>
      </c>
      <c r="M60" s="348"/>
      <c r="N60" s="349">
        <f>4376.53</f>
        <v>4376.53</v>
      </c>
      <c r="O60" s="349">
        <f>6742.51</f>
        <v>6742.51</v>
      </c>
      <c r="P60" s="349">
        <f>54.79</f>
        <v>54.79</v>
      </c>
      <c r="Q60" s="348"/>
      <c r="R60" s="349">
        <f>47.43</f>
        <v>47.43</v>
      </c>
      <c r="S60" s="348"/>
      <c r="T60" s="349">
        <f>1665.65</f>
        <v>1665.65</v>
      </c>
      <c r="U60" s="348"/>
      <c r="V60" s="349">
        <f>1047.91</f>
        <v>1047.9100000000001</v>
      </c>
      <c r="W60" s="348"/>
      <c r="X60" s="349">
        <f>426.61</f>
        <v>426.61</v>
      </c>
      <c r="Y60" s="348"/>
      <c r="Z60" s="349">
        <f>668.97</f>
        <v>668.97</v>
      </c>
      <c r="AA60" s="348"/>
      <c r="AB60" s="354">
        <f t="shared" si="32"/>
        <v>8287.89</v>
      </c>
      <c r="AC60" s="349">
        <f t="shared" si="32"/>
        <v>6742.51</v>
      </c>
      <c r="AD60" s="349">
        <f>1790.96</f>
        <v>1790.96</v>
      </c>
      <c r="AE60" s="349">
        <f>3414.85</f>
        <v>3414.85</v>
      </c>
      <c r="AF60" s="349">
        <f>262.45</f>
        <v>262.45</v>
      </c>
      <c r="AG60" s="348"/>
      <c r="AH60" s="349">
        <f>812.53</f>
        <v>812.53</v>
      </c>
      <c r="AI60" s="348"/>
      <c r="AJ60" s="349">
        <f>231.05</f>
        <v>231.05</v>
      </c>
      <c r="AK60" s="348"/>
      <c r="AL60" s="354">
        <f t="shared" si="33"/>
        <v>3096.99</v>
      </c>
      <c r="AM60" s="349">
        <f t="shared" si="33"/>
        <v>3414.85</v>
      </c>
      <c r="AN60" s="354">
        <f>2838.4</f>
        <v>2838.4</v>
      </c>
      <c r="AO60" s="349">
        <f>1662.61</f>
        <v>1662.61</v>
      </c>
      <c r="AP60" s="354">
        <f>2035.56</f>
        <v>2035.56</v>
      </c>
      <c r="AQ60" s="349">
        <f>3320.94</f>
        <v>3320.94</v>
      </c>
      <c r="AR60" s="354">
        <f>287.59</f>
        <v>287.58999999999997</v>
      </c>
      <c r="AS60" s="348"/>
      <c r="AT60" s="352"/>
      <c r="AU60" s="348"/>
      <c r="AV60" s="354">
        <f t="shared" si="34"/>
        <v>287.58999999999997</v>
      </c>
      <c r="AW60" s="349">
        <f t="shared" si="34"/>
        <v>0</v>
      </c>
      <c r="AX60" s="349">
        <f>281.94</f>
        <v>281.94</v>
      </c>
      <c r="AY60" s="348"/>
      <c r="AZ60" s="349">
        <f>1079.75</f>
        <v>1079.75</v>
      </c>
      <c r="BA60" s="348"/>
      <c r="BB60" s="349">
        <f t="shared" si="35"/>
        <v>1361.69</v>
      </c>
      <c r="BC60" s="349">
        <f t="shared" si="35"/>
        <v>0</v>
      </c>
      <c r="BD60" s="348"/>
      <c r="BE60" s="348"/>
      <c r="BF60" s="349">
        <f>1275.35</f>
        <v>1275.3499999999999</v>
      </c>
      <c r="BG60" s="348"/>
      <c r="BH60" s="349">
        <f t="shared" si="36"/>
        <v>1275.3499999999999</v>
      </c>
      <c r="BI60" s="349">
        <f t="shared" si="36"/>
        <v>0</v>
      </c>
      <c r="BJ60" s="349">
        <f>0</f>
        <v>0</v>
      </c>
      <c r="BK60" s="348"/>
      <c r="BL60" s="349">
        <f t="shared" si="37"/>
        <v>34562.65</v>
      </c>
      <c r="BM60" s="349">
        <f t="shared" si="38"/>
        <v>28371.02</v>
      </c>
    </row>
    <row r="61" spans="1:65" x14ac:dyDescent="0.25">
      <c r="A61" s="347" t="s">
        <v>70</v>
      </c>
      <c r="B61" s="352"/>
      <c r="C61" s="348"/>
      <c r="D61" s="348"/>
      <c r="E61" s="348"/>
      <c r="F61" s="352"/>
      <c r="G61" s="348"/>
      <c r="H61" s="348"/>
      <c r="I61" s="348"/>
      <c r="J61" s="352"/>
      <c r="K61" s="348"/>
      <c r="L61" s="352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54">
        <f t="shared" si="32"/>
        <v>0</v>
      </c>
      <c r="AC61" s="349">
        <f t="shared" si="32"/>
        <v>0</v>
      </c>
      <c r="AD61" s="348"/>
      <c r="AE61" s="348"/>
      <c r="AF61" s="348"/>
      <c r="AG61" s="348"/>
      <c r="AH61" s="348"/>
      <c r="AI61" s="348"/>
      <c r="AJ61" s="348"/>
      <c r="AK61" s="348"/>
      <c r="AL61" s="354">
        <f t="shared" si="33"/>
        <v>0</v>
      </c>
      <c r="AM61" s="349">
        <f t="shared" si="33"/>
        <v>0</v>
      </c>
      <c r="AN61" s="352"/>
      <c r="AO61" s="348"/>
      <c r="AP61" s="352"/>
      <c r="AQ61" s="348"/>
      <c r="AR61" s="352"/>
      <c r="AS61" s="348"/>
      <c r="AT61" s="352"/>
      <c r="AU61" s="348"/>
      <c r="AV61" s="354">
        <f t="shared" si="34"/>
        <v>0</v>
      </c>
      <c r="AW61" s="349">
        <f t="shared" si="34"/>
        <v>0</v>
      </c>
      <c r="AX61" s="348"/>
      <c r="AY61" s="348"/>
      <c r="AZ61" s="348"/>
      <c r="BA61" s="349">
        <f>1560</f>
        <v>1560</v>
      </c>
      <c r="BB61" s="349">
        <f t="shared" si="35"/>
        <v>0</v>
      </c>
      <c r="BC61" s="349">
        <f t="shared" si="35"/>
        <v>1560</v>
      </c>
      <c r="BD61" s="348"/>
      <c r="BE61" s="348"/>
      <c r="BF61" s="348"/>
      <c r="BG61" s="348"/>
      <c r="BH61" s="349">
        <f t="shared" si="36"/>
        <v>0</v>
      </c>
      <c r="BI61" s="349">
        <f t="shared" si="36"/>
        <v>0</v>
      </c>
      <c r="BJ61" s="348"/>
      <c r="BK61" s="348"/>
      <c r="BL61" s="349">
        <f t="shared" si="37"/>
        <v>0</v>
      </c>
      <c r="BM61" s="349">
        <f t="shared" si="38"/>
        <v>1560</v>
      </c>
    </row>
    <row r="62" spans="1:65" x14ac:dyDescent="0.25">
      <c r="A62" s="347" t="s">
        <v>71</v>
      </c>
      <c r="B62" s="352"/>
      <c r="C62" s="348"/>
      <c r="D62" s="348"/>
      <c r="E62" s="348"/>
      <c r="F62" s="352"/>
      <c r="G62" s="348"/>
      <c r="H62" s="348"/>
      <c r="I62" s="348"/>
      <c r="J62" s="352"/>
      <c r="K62" s="348"/>
      <c r="L62" s="352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54">
        <f t="shared" si="32"/>
        <v>0</v>
      </c>
      <c r="AC62" s="349">
        <f t="shared" si="32"/>
        <v>0</v>
      </c>
      <c r="AD62" s="348"/>
      <c r="AE62" s="348"/>
      <c r="AF62" s="348"/>
      <c r="AG62" s="348"/>
      <c r="AH62" s="348"/>
      <c r="AI62" s="348"/>
      <c r="AJ62" s="348"/>
      <c r="AK62" s="348"/>
      <c r="AL62" s="354">
        <f t="shared" si="33"/>
        <v>0</v>
      </c>
      <c r="AM62" s="349">
        <f t="shared" si="33"/>
        <v>0</v>
      </c>
      <c r="AN62" s="352"/>
      <c r="AO62" s="348"/>
      <c r="AP62" s="352"/>
      <c r="AQ62" s="348"/>
      <c r="AR62" s="352"/>
      <c r="AS62" s="348"/>
      <c r="AT62" s="352"/>
      <c r="AU62" s="348"/>
      <c r="AV62" s="354">
        <f t="shared" si="34"/>
        <v>0</v>
      </c>
      <c r="AW62" s="349">
        <f t="shared" si="34"/>
        <v>0</v>
      </c>
      <c r="AX62" s="348"/>
      <c r="AY62" s="348"/>
      <c r="AZ62" s="348"/>
      <c r="BA62" s="349">
        <f>1560</f>
        <v>1560</v>
      </c>
      <c r="BB62" s="349">
        <f t="shared" si="35"/>
        <v>0</v>
      </c>
      <c r="BC62" s="349">
        <f t="shared" si="35"/>
        <v>1560</v>
      </c>
      <c r="BD62" s="348"/>
      <c r="BE62" s="348"/>
      <c r="BF62" s="348"/>
      <c r="BG62" s="348"/>
      <c r="BH62" s="349">
        <f t="shared" si="36"/>
        <v>0</v>
      </c>
      <c r="BI62" s="349">
        <f t="shared" si="36"/>
        <v>0</v>
      </c>
      <c r="BJ62" s="348"/>
      <c r="BK62" s="348"/>
      <c r="BL62" s="349">
        <f t="shared" si="37"/>
        <v>0</v>
      </c>
      <c r="BM62" s="349">
        <f t="shared" si="38"/>
        <v>1560</v>
      </c>
    </row>
    <row r="63" spans="1:65" x14ac:dyDescent="0.25">
      <c r="A63" s="347" t="s">
        <v>72</v>
      </c>
      <c r="B63" s="353">
        <f t="shared" ref="B63:AA63" si="64">((B60)+(B61))+(B62)</f>
        <v>5308.22</v>
      </c>
      <c r="C63" s="350">
        <f t="shared" si="64"/>
        <v>1484.47</v>
      </c>
      <c r="D63" s="350">
        <f t="shared" si="64"/>
        <v>4387.46</v>
      </c>
      <c r="E63" s="350">
        <f t="shared" si="64"/>
        <v>5542.68</v>
      </c>
      <c r="F63" s="353">
        <f t="shared" si="64"/>
        <v>4415.55</v>
      </c>
      <c r="G63" s="350">
        <f t="shared" si="64"/>
        <v>6202.96</v>
      </c>
      <c r="H63" s="350">
        <f t="shared" si="64"/>
        <v>0</v>
      </c>
      <c r="I63" s="350">
        <f t="shared" si="64"/>
        <v>0</v>
      </c>
      <c r="J63" s="353">
        <f t="shared" si="64"/>
        <v>1267.95</v>
      </c>
      <c r="K63" s="350">
        <f t="shared" si="64"/>
        <v>0</v>
      </c>
      <c r="L63" s="353">
        <f t="shared" ref="L63" si="65">((L60)+(L61))+(L62)</f>
        <v>1267.95</v>
      </c>
      <c r="M63" s="350">
        <f t="shared" ref="M63" si="66">((M60)+(M61))+(M62)</f>
        <v>0</v>
      </c>
      <c r="N63" s="350">
        <f t="shared" si="64"/>
        <v>4376.53</v>
      </c>
      <c r="O63" s="350">
        <f t="shared" si="64"/>
        <v>6742.51</v>
      </c>
      <c r="P63" s="350">
        <f t="shared" si="64"/>
        <v>54.79</v>
      </c>
      <c r="Q63" s="350">
        <f t="shared" si="64"/>
        <v>0</v>
      </c>
      <c r="R63" s="350">
        <f t="shared" si="64"/>
        <v>47.43</v>
      </c>
      <c r="S63" s="350">
        <f t="shared" si="64"/>
        <v>0</v>
      </c>
      <c r="T63" s="350">
        <f t="shared" si="64"/>
        <v>1665.65</v>
      </c>
      <c r="U63" s="350">
        <f t="shared" si="64"/>
        <v>0</v>
      </c>
      <c r="V63" s="350">
        <f t="shared" si="64"/>
        <v>1047.9100000000001</v>
      </c>
      <c r="W63" s="350">
        <f t="shared" si="64"/>
        <v>0</v>
      </c>
      <c r="X63" s="350">
        <f t="shared" si="64"/>
        <v>426.61</v>
      </c>
      <c r="Y63" s="350">
        <f t="shared" si="64"/>
        <v>0</v>
      </c>
      <c r="Z63" s="350">
        <f t="shared" si="64"/>
        <v>668.97</v>
      </c>
      <c r="AA63" s="350">
        <f t="shared" si="64"/>
        <v>0</v>
      </c>
      <c r="AB63" s="353">
        <f t="shared" si="32"/>
        <v>8287.89</v>
      </c>
      <c r="AC63" s="350">
        <f t="shared" si="32"/>
        <v>6742.51</v>
      </c>
      <c r="AD63" s="350">
        <f t="shared" ref="AD63:AK63" si="67">((AD60)+(AD61))+(AD62)</f>
        <v>1790.96</v>
      </c>
      <c r="AE63" s="350">
        <f t="shared" si="67"/>
        <v>3414.85</v>
      </c>
      <c r="AF63" s="350">
        <f t="shared" si="67"/>
        <v>262.45</v>
      </c>
      <c r="AG63" s="350">
        <f t="shared" si="67"/>
        <v>0</v>
      </c>
      <c r="AH63" s="350">
        <f t="shared" si="67"/>
        <v>812.53</v>
      </c>
      <c r="AI63" s="350">
        <f t="shared" si="67"/>
        <v>0</v>
      </c>
      <c r="AJ63" s="350">
        <f t="shared" si="67"/>
        <v>231.05</v>
      </c>
      <c r="AK63" s="350">
        <f t="shared" si="67"/>
        <v>0</v>
      </c>
      <c r="AL63" s="353">
        <f t="shared" si="33"/>
        <v>3096.99</v>
      </c>
      <c r="AM63" s="350">
        <f t="shared" si="33"/>
        <v>3414.85</v>
      </c>
      <c r="AN63" s="353">
        <f t="shared" ref="AN63:AU63" si="68">((AN60)+(AN61))+(AN62)</f>
        <v>2838.4</v>
      </c>
      <c r="AO63" s="350">
        <f t="shared" si="68"/>
        <v>1662.61</v>
      </c>
      <c r="AP63" s="353">
        <f t="shared" si="68"/>
        <v>2035.56</v>
      </c>
      <c r="AQ63" s="350">
        <f t="shared" si="68"/>
        <v>3320.94</v>
      </c>
      <c r="AR63" s="353">
        <f t="shared" si="68"/>
        <v>287.58999999999997</v>
      </c>
      <c r="AS63" s="350">
        <f t="shared" si="68"/>
        <v>0</v>
      </c>
      <c r="AT63" s="353">
        <f t="shared" si="68"/>
        <v>0</v>
      </c>
      <c r="AU63" s="350">
        <f t="shared" si="68"/>
        <v>0</v>
      </c>
      <c r="AV63" s="353">
        <f t="shared" si="34"/>
        <v>287.58999999999997</v>
      </c>
      <c r="AW63" s="350">
        <f t="shared" si="34"/>
        <v>0</v>
      </c>
      <c r="AX63" s="350">
        <f>((AX60)+(AX61))+(AX62)</f>
        <v>281.94</v>
      </c>
      <c r="AY63" s="350">
        <f>((AY60)+(AY61))+(AY62)</f>
        <v>0</v>
      </c>
      <c r="AZ63" s="350">
        <f>((AZ60)+(AZ61))+(AZ62)</f>
        <v>1079.75</v>
      </c>
      <c r="BA63" s="350">
        <f>((BA60)+(BA61))+(BA62)</f>
        <v>3120</v>
      </c>
      <c r="BB63" s="350">
        <f t="shared" si="35"/>
        <v>1361.69</v>
      </c>
      <c r="BC63" s="350">
        <f t="shared" si="35"/>
        <v>3120</v>
      </c>
      <c r="BD63" s="350">
        <f>((BD60)+(BD61))+(BD62)</f>
        <v>0</v>
      </c>
      <c r="BE63" s="350">
        <f>((BE60)+(BE61))+(BE62)</f>
        <v>0</v>
      </c>
      <c r="BF63" s="350">
        <f>((BF60)+(BF61))+(BF62)</f>
        <v>1275.3499999999999</v>
      </c>
      <c r="BG63" s="350">
        <f>((BG60)+(BG61))+(BG62)</f>
        <v>0</v>
      </c>
      <c r="BH63" s="350">
        <f t="shared" si="36"/>
        <v>1275.3499999999999</v>
      </c>
      <c r="BI63" s="350">
        <f t="shared" si="36"/>
        <v>0</v>
      </c>
      <c r="BJ63" s="350">
        <f>((BJ60)+(BJ61))+(BJ62)</f>
        <v>0</v>
      </c>
      <c r="BK63" s="350">
        <f>((BK60)+(BK61))+(BK62)</f>
        <v>0</v>
      </c>
      <c r="BL63" s="350">
        <f t="shared" si="37"/>
        <v>34562.65</v>
      </c>
      <c r="BM63" s="350">
        <f t="shared" si="38"/>
        <v>31491.02</v>
      </c>
    </row>
    <row r="64" spans="1:65" x14ac:dyDescent="0.25">
      <c r="A64" s="347" t="s">
        <v>73</v>
      </c>
      <c r="B64" s="352"/>
      <c r="C64" s="348"/>
      <c r="D64" s="348"/>
      <c r="E64" s="349">
        <f>5542.68</f>
        <v>5542.68</v>
      </c>
      <c r="F64" s="352"/>
      <c r="G64" s="349">
        <f>2027.11</f>
        <v>2027.11</v>
      </c>
      <c r="H64" s="348"/>
      <c r="I64" s="348"/>
      <c r="J64" s="352"/>
      <c r="K64" s="348"/>
      <c r="L64" s="352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54">
        <f t="shared" ref="AB64:AC95" si="69">((((((N64)+(P64))+(R64))+(T64))+(V64))+(X64))+(Z64)</f>
        <v>0</v>
      </c>
      <c r="AC64" s="349">
        <f t="shared" si="69"/>
        <v>0</v>
      </c>
      <c r="AD64" s="348"/>
      <c r="AE64" s="348"/>
      <c r="AF64" s="348"/>
      <c r="AG64" s="348"/>
      <c r="AH64" s="348"/>
      <c r="AI64" s="348"/>
      <c r="AJ64" s="348"/>
      <c r="AK64" s="348"/>
      <c r="AL64" s="354">
        <f t="shared" ref="AL64:AM95" si="70">(((AD64)+(AF64))+(AH64))+(AJ64)</f>
        <v>0</v>
      </c>
      <c r="AM64" s="349">
        <f t="shared" si="70"/>
        <v>0</v>
      </c>
      <c r="AN64" s="352"/>
      <c r="AO64" s="349">
        <f>1457.23</f>
        <v>1457.23</v>
      </c>
      <c r="AP64" s="352"/>
      <c r="AQ64" s="348"/>
      <c r="AR64" s="352"/>
      <c r="AS64" s="348"/>
      <c r="AT64" s="352"/>
      <c r="AU64" s="348"/>
      <c r="AV64" s="354">
        <f t="shared" ref="AV64:AW95" si="71">(AR64)+(AT64)</f>
        <v>0</v>
      </c>
      <c r="AW64" s="349">
        <f t="shared" si="71"/>
        <v>0</v>
      </c>
      <c r="AX64" s="348"/>
      <c r="AY64" s="348"/>
      <c r="AZ64" s="348"/>
      <c r="BA64" s="348"/>
      <c r="BB64" s="349">
        <f t="shared" ref="BB64:BC95" si="72">(AX64)+(AZ64)</f>
        <v>0</v>
      </c>
      <c r="BC64" s="349">
        <f t="shared" si="72"/>
        <v>0</v>
      </c>
      <c r="BD64" s="348"/>
      <c r="BE64" s="348"/>
      <c r="BF64" s="348"/>
      <c r="BG64" s="348"/>
      <c r="BH64" s="349">
        <f t="shared" ref="BH64:BI95" si="73">(BD64)+(BF64)</f>
        <v>0</v>
      </c>
      <c r="BI64" s="349">
        <f t="shared" si="73"/>
        <v>0</v>
      </c>
      <c r="BJ64" s="348"/>
      <c r="BK64" s="348"/>
      <c r="BL64" s="349">
        <f t="shared" ref="BL64:BL95" si="74">((((((((((((B64)+(D64))+(F64))+(H64))+(J64))+(AB64))+(AL64))+(AN64))+(AP64))+(AV64))+(BB64))+(BH64))+(BJ64)</f>
        <v>0</v>
      </c>
      <c r="BM64" s="349">
        <f t="shared" ref="BM64:BM95" si="75">((((((((((((C64)+(E64))+(G64))+(I64))+(K64))+(AC64))+(AM64))+(AO64))+(AQ64))+(AW64))+(BC64))+(BI64))+(BK64)</f>
        <v>9027.02</v>
      </c>
    </row>
    <row r="65" spans="1:65" x14ac:dyDescent="0.25">
      <c r="A65" s="347" t="s">
        <v>74</v>
      </c>
      <c r="B65" s="354">
        <f>1090.31</f>
        <v>1090.31</v>
      </c>
      <c r="C65" s="348"/>
      <c r="D65" s="348"/>
      <c r="E65" s="348"/>
      <c r="F65" s="354">
        <f>1519.47</f>
        <v>1519.47</v>
      </c>
      <c r="G65" s="349">
        <f>2432.53</f>
        <v>2432.5300000000002</v>
      </c>
      <c r="H65" s="348"/>
      <c r="I65" s="348"/>
      <c r="J65" s="354">
        <f>152.11</f>
        <v>152.11000000000001</v>
      </c>
      <c r="K65" s="348"/>
      <c r="L65" s="354">
        <f>152.11</f>
        <v>152.11000000000001</v>
      </c>
      <c r="M65" s="348"/>
      <c r="N65" s="349">
        <f>906.64</f>
        <v>906.64</v>
      </c>
      <c r="O65" s="349">
        <f>2644.12</f>
        <v>2644.12</v>
      </c>
      <c r="P65" s="349">
        <f>3.68</f>
        <v>3.68</v>
      </c>
      <c r="Q65" s="348"/>
      <c r="R65" s="349">
        <f>3.68</f>
        <v>3.68</v>
      </c>
      <c r="S65" s="348"/>
      <c r="T65" s="349">
        <f>190.01</f>
        <v>190.01</v>
      </c>
      <c r="U65" s="348"/>
      <c r="V65" s="349">
        <f>132.24</f>
        <v>132.24</v>
      </c>
      <c r="W65" s="348"/>
      <c r="X65" s="349">
        <f>58.71</f>
        <v>58.71</v>
      </c>
      <c r="Y65" s="348"/>
      <c r="Z65" s="349">
        <f>77.21</f>
        <v>77.209999999999994</v>
      </c>
      <c r="AA65" s="348"/>
      <c r="AB65" s="354">
        <f t="shared" si="69"/>
        <v>1372.1699999999998</v>
      </c>
      <c r="AC65" s="349">
        <f t="shared" si="69"/>
        <v>2644.12</v>
      </c>
      <c r="AD65" s="349">
        <f>418.76</f>
        <v>418.76</v>
      </c>
      <c r="AE65" s="349">
        <f>1339.16</f>
        <v>1339.16</v>
      </c>
      <c r="AF65" s="349">
        <f>7.35</f>
        <v>7.35</v>
      </c>
      <c r="AG65" s="348"/>
      <c r="AH65" s="349">
        <f>64.75</f>
        <v>64.75</v>
      </c>
      <c r="AI65" s="348"/>
      <c r="AJ65" s="349">
        <f>3.68</f>
        <v>3.68</v>
      </c>
      <c r="AK65" s="348"/>
      <c r="AL65" s="354">
        <f t="shared" si="70"/>
        <v>494.54</v>
      </c>
      <c r="AM65" s="349">
        <f t="shared" si="70"/>
        <v>1339.16</v>
      </c>
      <c r="AN65" s="354">
        <f>963.92</f>
        <v>963.92</v>
      </c>
      <c r="AO65" s="348"/>
      <c r="AP65" s="354">
        <f>551.82</f>
        <v>551.82000000000005</v>
      </c>
      <c r="AQ65" s="349">
        <f>1302.33</f>
        <v>1302.33</v>
      </c>
      <c r="AR65" s="354">
        <f>29.51</f>
        <v>29.51</v>
      </c>
      <c r="AS65" s="348"/>
      <c r="AT65" s="352"/>
      <c r="AU65" s="348"/>
      <c r="AV65" s="354">
        <f t="shared" si="71"/>
        <v>29.51</v>
      </c>
      <c r="AW65" s="349">
        <f t="shared" si="71"/>
        <v>0</v>
      </c>
      <c r="AX65" s="348"/>
      <c r="AY65" s="348"/>
      <c r="AZ65" s="348"/>
      <c r="BA65" s="348"/>
      <c r="BB65" s="349">
        <f t="shared" si="72"/>
        <v>0</v>
      </c>
      <c r="BC65" s="349">
        <f t="shared" si="72"/>
        <v>0</v>
      </c>
      <c r="BD65" s="348"/>
      <c r="BE65" s="348"/>
      <c r="BF65" s="349">
        <f>246.75</f>
        <v>246.75</v>
      </c>
      <c r="BG65" s="348"/>
      <c r="BH65" s="349">
        <f t="shared" si="73"/>
        <v>246.75</v>
      </c>
      <c r="BI65" s="349">
        <f t="shared" si="73"/>
        <v>0</v>
      </c>
      <c r="BJ65" s="348"/>
      <c r="BK65" s="348"/>
      <c r="BL65" s="349">
        <f t="shared" si="74"/>
        <v>6420.5999999999995</v>
      </c>
      <c r="BM65" s="349">
        <f t="shared" si="75"/>
        <v>7718.1399999999994</v>
      </c>
    </row>
    <row r="66" spans="1:65" ht="26.25" customHeight="1" x14ac:dyDescent="0.25">
      <c r="A66" s="347" t="s">
        <v>75</v>
      </c>
      <c r="B66" s="354">
        <f>5010.13</f>
        <v>5010.13</v>
      </c>
      <c r="C66" s="348"/>
      <c r="D66" s="348"/>
      <c r="E66" s="348"/>
      <c r="F66" s="354">
        <f>4136.88</f>
        <v>4136.88</v>
      </c>
      <c r="G66" s="349">
        <f>5594.83</f>
        <v>5594.83</v>
      </c>
      <c r="H66" s="348"/>
      <c r="I66" s="348"/>
      <c r="J66" s="354">
        <f>412.88</f>
        <v>412.88</v>
      </c>
      <c r="K66" s="348"/>
      <c r="L66" s="354">
        <f>412.88</f>
        <v>412.88</v>
      </c>
      <c r="M66" s="348"/>
      <c r="N66" s="349">
        <f>1222.12</f>
        <v>1222.1199999999999</v>
      </c>
      <c r="O66" s="349">
        <f>7667.95</f>
        <v>7667.95</v>
      </c>
      <c r="P66" s="349">
        <f>16.35</f>
        <v>16.350000000000001</v>
      </c>
      <c r="Q66" s="348"/>
      <c r="R66" s="349">
        <f>16.35</f>
        <v>16.350000000000001</v>
      </c>
      <c r="S66" s="348"/>
      <c r="T66" s="349">
        <f>174.59</f>
        <v>174.59</v>
      </c>
      <c r="U66" s="348"/>
      <c r="V66" s="349">
        <f>155.21</f>
        <v>155.21</v>
      </c>
      <c r="W66" s="348"/>
      <c r="X66" s="349">
        <f>72.44</f>
        <v>72.44</v>
      </c>
      <c r="Y66" s="348"/>
      <c r="Z66" s="349">
        <f>24.95</f>
        <v>24.95</v>
      </c>
      <c r="AA66" s="348"/>
      <c r="AB66" s="354">
        <f t="shared" si="69"/>
        <v>1682.0099999999998</v>
      </c>
      <c r="AC66" s="349">
        <f t="shared" si="69"/>
        <v>7667.95</v>
      </c>
      <c r="AD66" s="349">
        <f>357.33</f>
        <v>357.33</v>
      </c>
      <c r="AE66" s="349">
        <f>3883.56</f>
        <v>3883.56</v>
      </c>
      <c r="AF66" s="349">
        <f>4.71</f>
        <v>4.71</v>
      </c>
      <c r="AG66" s="348"/>
      <c r="AH66" s="349">
        <f>403.54</f>
        <v>403.54</v>
      </c>
      <c r="AI66" s="348"/>
      <c r="AJ66" s="349">
        <f>3.28</f>
        <v>3.28</v>
      </c>
      <c r="AK66" s="348"/>
      <c r="AL66" s="354">
        <f t="shared" si="70"/>
        <v>768.8599999999999</v>
      </c>
      <c r="AM66" s="349">
        <f t="shared" si="70"/>
        <v>3883.56</v>
      </c>
      <c r="AN66" s="354">
        <f>1802.72</f>
        <v>1802.72</v>
      </c>
      <c r="AO66" s="348"/>
      <c r="AP66" s="354">
        <f>483.24</f>
        <v>483.24</v>
      </c>
      <c r="AQ66" s="349">
        <f>2724.98</f>
        <v>2724.98</v>
      </c>
      <c r="AR66" s="354">
        <f>0.88</f>
        <v>0.88</v>
      </c>
      <c r="AS66" s="348"/>
      <c r="AT66" s="352"/>
      <c r="AU66" s="348"/>
      <c r="AV66" s="354">
        <f t="shared" si="71"/>
        <v>0.88</v>
      </c>
      <c r="AW66" s="349">
        <f t="shared" si="71"/>
        <v>0</v>
      </c>
      <c r="AX66" s="348"/>
      <c r="AY66" s="348"/>
      <c r="AZ66" s="348"/>
      <c r="BA66" s="348"/>
      <c r="BB66" s="349">
        <f t="shared" si="72"/>
        <v>0</v>
      </c>
      <c r="BC66" s="349">
        <f t="shared" si="72"/>
        <v>0</v>
      </c>
      <c r="BD66" s="348"/>
      <c r="BE66" s="348"/>
      <c r="BF66" s="349">
        <f>122.38</f>
        <v>122.38</v>
      </c>
      <c r="BG66" s="348"/>
      <c r="BH66" s="349">
        <f t="shared" si="73"/>
        <v>122.38</v>
      </c>
      <c r="BI66" s="349">
        <f t="shared" si="73"/>
        <v>0</v>
      </c>
      <c r="BJ66" s="348"/>
      <c r="BK66" s="348"/>
      <c r="BL66" s="349">
        <f t="shared" si="74"/>
        <v>14419.979999999998</v>
      </c>
      <c r="BM66" s="349">
        <f t="shared" si="75"/>
        <v>19871.32</v>
      </c>
    </row>
    <row r="67" spans="1:65" x14ac:dyDescent="0.25">
      <c r="A67" s="347" t="s">
        <v>76</v>
      </c>
      <c r="B67" s="354">
        <f>-1985.09</f>
        <v>-1985.09</v>
      </c>
      <c r="C67" s="348"/>
      <c r="D67" s="348"/>
      <c r="E67" s="348"/>
      <c r="F67" s="352"/>
      <c r="G67" s="348"/>
      <c r="H67" s="348"/>
      <c r="I67" s="348"/>
      <c r="J67" s="352"/>
      <c r="K67" s="348"/>
      <c r="L67" s="352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54">
        <f t="shared" si="69"/>
        <v>0</v>
      </c>
      <c r="AC67" s="349">
        <f t="shared" si="69"/>
        <v>0</v>
      </c>
      <c r="AD67" s="348"/>
      <c r="AE67" s="348"/>
      <c r="AF67" s="348"/>
      <c r="AG67" s="348"/>
      <c r="AH67" s="348"/>
      <c r="AI67" s="348"/>
      <c r="AJ67" s="348"/>
      <c r="AK67" s="348"/>
      <c r="AL67" s="354">
        <f t="shared" si="70"/>
        <v>0</v>
      </c>
      <c r="AM67" s="349">
        <f t="shared" si="70"/>
        <v>0</v>
      </c>
      <c r="AN67" s="352"/>
      <c r="AO67" s="348"/>
      <c r="AP67" s="352"/>
      <c r="AQ67" s="348"/>
      <c r="AR67" s="352"/>
      <c r="AS67" s="348"/>
      <c r="AT67" s="352"/>
      <c r="AU67" s="348"/>
      <c r="AV67" s="354">
        <f t="shared" si="71"/>
        <v>0</v>
      </c>
      <c r="AW67" s="349">
        <f t="shared" si="71"/>
        <v>0</v>
      </c>
      <c r="AX67" s="348"/>
      <c r="AY67" s="348"/>
      <c r="AZ67" s="348"/>
      <c r="BA67" s="348"/>
      <c r="BB67" s="349">
        <f t="shared" si="72"/>
        <v>0</v>
      </c>
      <c r="BC67" s="349">
        <f t="shared" si="72"/>
        <v>0</v>
      </c>
      <c r="BD67" s="348"/>
      <c r="BE67" s="348"/>
      <c r="BF67" s="348"/>
      <c r="BG67" s="348"/>
      <c r="BH67" s="349">
        <f t="shared" si="73"/>
        <v>0</v>
      </c>
      <c r="BI67" s="349">
        <f t="shared" si="73"/>
        <v>0</v>
      </c>
      <c r="BJ67" s="348"/>
      <c r="BK67" s="348"/>
      <c r="BL67" s="349">
        <f t="shared" si="74"/>
        <v>-1985.09</v>
      </c>
      <c r="BM67" s="349">
        <f t="shared" si="75"/>
        <v>0</v>
      </c>
    </row>
    <row r="68" spans="1:65" x14ac:dyDescent="0.25">
      <c r="A68" s="347" t="s">
        <v>77</v>
      </c>
      <c r="B68" s="353">
        <f t="shared" ref="B68:AA68" si="76">(((B64)+(B65))+(B66))+(B67)</f>
        <v>4115.3500000000004</v>
      </c>
      <c r="C68" s="350">
        <f t="shared" si="76"/>
        <v>0</v>
      </c>
      <c r="D68" s="350">
        <f t="shared" si="76"/>
        <v>0</v>
      </c>
      <c r="E68" s="350">
        <f t="shared" si="76"/>
        <v>5542.68</v>
      </c>
      <c r="F68" s="353">
        <f t="shared" si="76"/>
        <v>5656.35</v>
      </c>
      <c r="G68" s="350">
        <f t="shared" si="76"/>
        <v>10054.470000000001</v>
      </c>
      <c r="H68" s="350">
        <f t="shared" si="76"/>
        <v>0</v>
      </c>
      <c r="I68" s="350">
        <f t="shared" si="76"/>
        <v>0</v>
      </c>
      <c r="J68" s="353">
        <f t="shared" si="76"/>
        <v>564.99</v>
      </c>
      <c r="K68" s="350">
        <f t="shared" si="76"/>
        <v>0</v>
      </c>
      <c r="L68" s="353">
        <f t="shared" ref="L68" si="77">(((L64)+(L65))+(L66))+(L67)</f>
        <v>564.99</v>
      </c>
      <c r="M68" s="350">
        <f t="shared" ref="M68" si="78">(((M64)+(M65))+(M66))+(M67)</f>
        <v>0</v>
      </c>
      <c r="N68" s="350">
        <f t="shared" si="76"/>
        <v>2128.7599999999998</v>
      </c>
      <c r="O68" s="350">
        <f t="shared" si="76"/>
        <v>10312.07</v>
      </c>
      <c r="P68" s="350">
        <f t="shared" si="76"/>
        <v>20.03</v>
      </c>
      <c r="Q68" s="350">
        <f t="shared" si="76"/>
        <v>0</v>
      </c>
      <c r="R68" s="350">
        <f t="shared" si="76"/>
        <v>20.03</v>
      </c>
      <c r="S68" s="350">
        <f t="shared" si="76"/>
        <v>0</v>
      </c>
      <c r="T68" s="350">
        <f t="shared" si="76"/>
        <v>364.6</v>
      </c>
      <c r="U68" s="350">
        <f t="shared" si="76"/>
        <v>0</v>
      </c>
      <c r="V68" s="350">
        <f t="shared" si="76"/>
        <v>287.45000000000005</v>
      </c>
      <c r="W68" s="350">
        <f t="shared" si="76"/>
        <v>0</v>
      </c>
      <c r="X68" s="350">
        <f t="shared" si="76"/>
        <v>131.15</v>
      </c>
      <c r="Y68" s="350">
        <f t="shared" si="76"/>
        <v>0</v>
      </c>
      <c r="Z68" s="350">
        <f t="shared" si="76"/>
        <v>102.16</v>
      </c>
      <c r="AA68" s="350">
        <f t="shared" si="76"/>
        <v>0</v>
      </c>
      <c r="AB68" s="353">
        <f t="shared" si="69"/>
        <v>3054.18</v>
      </c>
      <c r="AC68" s="350">
        <f t="shared" si="69"/>
        <v>10312.07</v>
      </c>
      <c r="AD68" s="350">
        <f t="shared" ref="AD68:AK68" si="79">(((AD64)+(AD65))+(AD66))+(AD67)</f>
        <v>776.08999999999992</v>
      </c>
      <c r="AE68" s="350">
        <f t="shared" si="79"/>
        <v>5222.72</v>
      </c>
      <c r="AF68" s="350">
        <f t="shared" si="79"/>
        <v>12.059999999999999</v>
      </c>
      <c r="AG68" s="350">
        <f t="shared" si="79"/>
        <v>0</v>
      </c>
      <c r="AH68" s="350">
        <f t="shared" si="79"/>
        <v>468.29</v>
      </c>
      <c r="AI68" s="350">
        <f t="shared" si="79"/>
        <v>0</v>
      </c>
      <c r="AJ68" s="350">
        <f t="shared" si="79"/>
        <v>6.96</v>
      </c>
      <c r="AK68" s="350">
        <f t="shared" si="79"/>
        <v>0</v>
      </c>
      <c r="AL68" s="353">
        <f t="shared" si="70"/>
        <v>1263.3999999999999</v>
      </c>
      <c r="AM68" s="350">
        <f t="shared" si="70"/>
        <v>5222.72</v>
      </c>
      <c r="AN68" s="353">
        <f t="shared" ref="AN68:AU68" si="80">(((AN64)+(AN65))+(AN66))+(AN67)</f>
        <v>2766.64</v>
      </c>
      <c r="AO68" s="350">
        <f t="shared" si="80"/>
        <v>1457.23</v>
      </c>
      <c r="AP68" s="353">
        <f t="shared" si="80"/>
        <v>1035.06</v>
      </c>
      <c r="AQ68" s="350">
        <f t="shared" si="80"/>
        <v>4027.31</v>
      </c>
      <c r="AR68" s="353">
        <f t="shared" si="80"/>
        <v>30.39</v>
      </c>
      <c r="AS68" s="350">
        <f t="shared" si="80"/>
        <v>0</v>
      </c>
      <c r="AT68" s="353">
        <f t="shared" si="80"/>
        <v>0</v>
      </c>
      <c r="AU68" s="350">
        <f t="shared" si="80"/>
        <v>0</v>
      </c>
      <c r="AV68" s="353">
        <f t="shared" si="71"/>
        <v>30.39</v>
      </c>
      <c r="AW68" s="350">
        <f t="shared" si="71"/>
        <v>0</v>
      </c>
      <c r="AX68" s="350">
        <f>(((AX64)+(AX65))+(AX66))+(AX67)</f>
        <v>0</v>
      </c>
      <c r="AY68" s="350">
        <f>(((AY64)+(AY65))+(AY66))+(AY67)</f>
        <v>0</v>
      </c>
      <c r="AZ68" s="350">
        <f>(((AZ64)+(AZ65))+(AZ66))+(AZ67)</f>
        <v>0</v>
      </c>
      <c r="BA68" s="350">
        <f>(((BA64)+(BA65))+(BA66))+(BA67)</f>
        <v>0</v>
      </c>
      <c r="BB68" s="350">
        <f t="shared" si="72"/>
        <v>0</v>
      </c>
      <c r="BC68" s="350">
        <f t="shared" si="72"/>
        <v>0</v>
      </c>
      <c r="BD68" s="350">
        <f>(((BD64)+(BD65))+(BD66))+(BD67)</f>
        <v>0</v>
      </c>
      <c r="BE68" s="350">
        <f>(((BE64)+(BE65))+(BE66))+(BE67)</f>
        <v>0</v>
      </c>
      <c r="BF68" s="350">
        <f>(((BF64)+(BF65))+(BF66))+(BF67)</f>
        <v>369.13</v>
      </c>
      <c r="BG68" s="350">
        <f>(((BG64)+(BG65))+(BG66))+(BG67)</f>
        <v>0</v>
      </c>
      <c r="BH68" s="350">
        <f t="shared" si="73"/>
        <v>369.13</v>
      </c>
      <c r="BI68" s="350">
        <f t="shared" si="73"/>
        <v>0</v>
      </c>
      <c r="BJ68" s="350">
        <f>(((BJ64)+(BJ65))+(BJ66))+(BJ67)</f>
        <v>0</v>
      </c>
      <c r="BK68" s="350">
        <f>(((BK64)+(BK65))+(BK66))+(BK67)</f>
        <v>0</v>
      </c>
      <c r="BL68" s="350">
        <f t="shared" si="74"/>
        <v>18855.490000000002</v>
      </c>
      <c r="BM68" s="350">
        <f t="shared" si="75"/>
        <v>36616.480000000003</v>
      </c>
    </row>
    <row r="69" spans="1:65" x14ac:dyDescent="0.25">
      <c r="A69" s="347" t="s">
        <v>78</v>
      </c>
      <c r="B69" s="353">
        <f t="shared" ref="B69:AA69" si="81">(((B53)+(B59))+(B63))+(B68)</f>
        <v>95663.12000000001</v>
      </c>
      <c r="C69" s="350">
        <f t="shared" si="81"/>
        <v>9297.4699999999993</v>
      </c>
      <c r="D69" s="350">
        <f t="shared" si="81"/>
        <v>57708.939999999995</v>
      </c>
      <c r="E69" s="350">
        <f t="shared" si="81"/>
        <v>69429.36</v>
      </c>
      <c r="F69" s="353">
        <f t="shared" si="81"/>
        <v>65381.53</v>
      </c>
      <c r="G69" s="350">
        <f t="shared" si="81"/>
        <v>97341.85</v>
      </c>
      <c r="H69" s="350">
        <f t="shared" si="81"/>
        <v>0</v>
      </c>
      <c r="I69" s="350">
        <f t="shared" si="81"/>
        <v>0</v>
      </c>
      <c r="J69" s="353">
        <f t="shared" si="81"/>
        <v>17533.91</v>
      </c>
      <c r="K69" s="350">
        <f t="shared" si="81"/>
        <v>0</v>
      </c>
      <c r="L69" s="353">
        <f t="shared" ref="L69" si="82">(((L53)+(L59))+(L63))+(L68)</f>
        <v>17533.91</v>
      </c>
      <c r="M69" s="350">
        <f t="shared" ref="M69" si="83">(((M53)+(M59))+(M63))+(M68)</f>
        <v>0</v>
      </c>
      <c r="N69" s="350">
        <f t="shared" si="81"/>
        <v>51596.889999999992</v>
      </c>
      <c r="O69" s="350">
        <f t="shared" si="81"/>
        <v>105191.93</v>
      </c>
      <c r="P69" s="350">
        <f t="shared" si="81"/>
        <v>728.51999999999987</v>
      </c>
      <c r="Q69" s="350">
        <f t="shared" si="81"/>
        <v>0</v>
      </c>
      <c r="R69" s="350">
        <f t="shared" si="81"/>
        <v>624.99999999999989</v>
      </c>
      <c r="S69" s="350">
        <f t="shared" si="81"/>
        <v>0</v>
      </c>
      <c r="T69" s="350">
        <f t="shared" si="81"/>
        <v>16539.48</v>
      </c>
      <c r="U69" s="350">
        <f t="shared" si="81"/>
        <v>0</v>
      </c>
      <c r="V69" s="350">
        <f t="shared" si="81"/>
        <v>14083.67</v>
      </c>
      <c r="W69" s="350">
        <f t="shared" si="81"/>
        <v>0</v>
      </c>
      <c r="X69" s="350">
        <f t="shared" si="81"/>
        <v>5915.4199999999992</v>
      </c>
      <c r="Y69" s="350">
        <f t="shared" si="81"/>
        <v>0</v>
      </c>
      <c r="Z69" s="350">
        <f t="shared" si="81"/>
        <v>8704.64</v>
      </c>
      <c r="AA69" s="350">
        <f t="shared" si="81"/>
        <v>0</v>
      </c>
      <c r="AB69" s="353">
        <f t="shared" si="69"/>
        <v>98193.619999999981</v>
      </c>
      <c r="AC69" s="350">
        <f t="shared" si="69"/>
        <v>105191.93</v>
      </c>
      <c r="AD69" s="350">
        <f t="shared" ref="AD69:AK69" si="84">(((AD53)+(AD59))+(AD63))+(AD68)</f>
        <v>29396.83</v>
      </c>
      <c r="AE69" s="350">
        <f t="shared" si="84"/>
        <v>53276.11</v>
      </c>
      <c r="AF69" s="350">
        <f t="shared" si="84"/>
        <v>3471.0599999999995</v>
      </c>
      <c r="AG69" s="350">
        <f t="shared" si="84"/>
        <v>0</v>
      </c>
      <c r="AH69" s="350">
        <f t="shared" si="84"/>
        <v>11026.28</v>
      </c>
      <c r="AI69" s="350">
        <f t="shared" si="84"/>
        <v>0</v>
      </c>
      <c r="AJ69" s="350">
        <f t="shared" si="84"/>
        <v>2912.6800000000003</v>
      </c>
      <c r="AK69" s="350">
        <f t="shared" si="84"/>
        <v>0</v>
      </c>
      <c r="AL69" s="353">
        <f t="shared" si="70"/>
        <v>46806.85</v>
      </c>
      <c r="AM69" s="350">
        <f t="shared" si="70"/>
        <v>53276.11</v>
      </c>
      <c r="AN69" s="353">
        <f t="shared" ref="AN69:AU69" si="85">(((AN53)+(AN59))+(AN63))+(AN68)</f>
        <v>40112.92</v>
      </c>
      <c r="AO69" s="350">
        <f t="shared" si="85"/>
        <v>25288.03</v>
      </c>
      <c r="AP69" s="353">
        <f t="shared" si="85"/>
        <v>33877.39</v>
      </c>
      <c r="AQ69" s="350">
        <f t="shared" si="85"/>
        <v>50759.25</v>
      </c>
      <c r="AR69" s="353">
        <f t="shared" si="85"/>
        <v>3705.4700000000003</v>
      </c>
      <c r="AS69" s="350">
        <f t="shared" si="85"/>
        <v>0</v>
      </c>
      <c r="AT69" s="353">
        <f t="shared" si="85"/>
        <v>0</v>
      </c>
      <c r="AU69" s="350">
        <f t="shared" si="85"/>
        <v>0</v>
      </c>
      <c r="AV69" s="353">
        <f t="shared" si="71"/>
        <v>3705.4700000000003</v>
      </c>
      <c r="AW69" s="350">
        <f t="shared" si="71"/>
        <v>0</v>
      </c>
      <c r="AX69" s="350">
        <f>(((AX53)+(AX59))+(AX63))+(AX68)</f>
        <v>4174.92</v>
      </c>
      <c r="AY69" s="350">
        <f>(((AY53)+(AY59))+(AY63))+(AY68)</f>
        <v>0</v>
      </c>
      <c r="AZ69" s="350">
        <f>(((AZ53)+(AZ59))+(AZ63))+(AZ68)</f>
        <v>13416.15</v>
      </c>
      <c r="BA69" s="350">
        <f>(((BA53)+(BA59))+(BA63))+(BA68)</f>
        <v>23920</v>
      </c>
      <c r="BB69" s="350">
        <f t="shared" si="72"/>
        <v>17591.07</v>
      </c>
      <c r="BC69" s="350">
        <f t="shared" si="72"/>
        <v>23920</v>
      </c>
      <c r="BD69" s="350">
        <f>(((BD53)+(BD59))+(BD63))+(BD68)</f>
        <v>0</v>
      </c>
      <c r="BE69" s="350">
        <f>(((BE53)+(BE59))+(BE63))+(BE68)</f>
        <v>0</v>
      </c>
      <c r="BF69" s="350">
        <f>(((BF53)+(BF59))+(BF63))+(BF68)</f>
        <v>16727.510000000002</v>
      </c>
      <c r="BG69" s="350">
        <f>(((BG53)+(BG59))+(BG63))+(BG68)</f>
        <v>0</v>
      </c>
      <c r="BH69" s="350">
        <f t="shared" si="73"/>
        <v>16727.510000000002</v>
      </c>
      <c r="BI69" s="350">
        <f t="shared" si="73"/>
        <v>0</v>
      </c>
      <c r="BJ69" s="350">
        <f>(((BJ53)+(BJ59))+(BJ63))+(BJ68)</f>
        <v>0</v>
      </c>
      <c r="BK69" s="350">
        <f>(((BK53)+(BK59))+(BK63))+(BK68)</f>
        <v>0</v>
      </c>
      <c r="BL69" s="350">
        <f t="shared" si="74"/>
        <v>493302.32999999996</v>
      </c>
      <c r="BM69" s="350">
        <f t="shared" si="75"/>
        <v>434504</v>
      </c>
    </row>
    <row r="70" spans="1:65" x14ac:dyDescent="0.25">
      <c r="A70" s="347" t="s">
        <v>721</v>
      </c>
      <c r="B70" s="352"/>
      <c r="C70" s="348"/>
      <c r="D70" s="348"/>
      <c r="E70" s="348"/>
      <c r="F70" s="352"/>
      <c r="G70" s="348"/>
      <c r="H70" s="348"/>
      <c r="I70" s="348"/>
      <c r="J70" s="352"/>
      <c r="K70" s="348"/>
      <c r="L70" s="352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348"/>
      <c r="Z70" s="348"/>
      <c r="AA70" s="348"/>
      <c r="AB70" s="354">
        <f t="shared" si="69"/>
        <v>0</v>
      </c>
      <c r="AC70" s="349">
        <f t="shared" si="69"/>
        <v>0</v>
      </c>
      <c r="AD70" s="348"/>
      <c r="AE70" s="348"/>
      <c r="AF70" s="348"/>
      <c r="AG70" s="348"/>
      <c r="AH70" s="348"/>
      <c r="AI70" s="348"/>
      <c r="AJ70" s="348"/>
      <c r="AK70" s="348"/>
      <c r="AL70" s="354">
        <f t="shared" si="70"/>
        <v>0</v>
      </c>
      <c r="AM70" s="349">
        <f t="shared" si="70"/>
        <v>0</v>
      </c>
      <c r="AN70" s="352"/>
      <c r="AO70" s="348"/>
      <c r="AP70" s="352"/>
      <c r="AQ70" s="348"/>
      <c r="AR70" s="352"/>
      <c r="AS70" s="348"/>
      <c r="AT70" s="352"/>
      <c r="AU70" s="348"/>
      <c r="AV70" s="354">
        <f t="shared" si="71"/>
        <v>0</v>
      </c>
      <c r="AW70" s="349">
        <f t="shared" si="71"/>
        <v>0</v>
      </c>
      <c r="AX70" s="348"/>
      <c r="AY70" s="348"/>
      <c r="AZ70" s="348"/>
      <c r="BA70" s="348"/>
      <c r="BB70" s="349">
        <f t="shared" si="72"/>
        <v>0</v>
      </c>
      <c r="BC70" s="349">
        <f t="shared" si="72"/>
        <v>0</v>
      </c>
      <c r="BD70" s="348"/>
      <c r="BE70" s="348"/>
      <c r="BF70" s="348"/>
      <c r="BG70" s="348"/>
      <c r="BH70" s="349">
        <f t="shared" si="73"/>
        <v>0</v>
      </c>
      <c r="BI70" s="349">
        <f t="shared" si="73"/>
        <v>0</v>
      </c>
      <c r="BJ70" s="348"/>
      <c r="BK70" s="348"/>
      <c r="BL70" s="349">
        <f t="shared" si="74"/>
        <v>0</v>
      </c>
      <c r="BM70" s="349">
        <f t="shared" si="75"/>
        <v>0</v>
      </c>
    </row>
    <row r="71" spans="1:65" x14ac:dyDescent="0.25">
      <c r="A71" s="347" t="s">
        <v>722</v>
      </c>
      <c r="B71" s="352"/>
      <c r="C71" s="348"/>
      <c r="D71" s="348"/>
      <c r="E71" s="348"/>
      <c r="F71" s="352"/>
      <c r="G71" s="348"/>
      <c r="H71" s="348"/>
      <c r="I71" s="348"/>
      <c r="J71" s="352"/>
      <c r="K71" s="348"/>
      <c r="L71" s="352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54">
        <f t="shared" si="69"/>
        <v>0</v>
      </c>
      <c r="AC71" s="349">
        <f t="shared" si="69"/>
        <v>0</v>
      </c>
      <c r="AD71" s="348"/>
      <c r="AE71" s="348"/>
      <c r="AF71" s="348"/>
      <c r="AG71" s="348"/>
      <c r="AH71" s="348"/>
      <c r="AI71" s="348"/>
      <c r="AJ71" s="348"/>
      <c r="AK71" s="348"/>
      <c r="AL71" s="354">
        <f t="shared" si="70"/>
        <v>0</v>
      </c>
      <c r="AM71" s="349">
        <f t="shared" si="70"/>
        <v>0</v>
      </c>
      <c r="AN71" s="352"/>
      <c r="AO71" s="348"/>
      <c r="AP71" s="352"/>
      <c r="AQ71" s="348"/>
      <c r="AR71" s="352"/>
      <c r="AS71" s="348"/>
      <c r="AT71" s="352"/>
      <c r="AU71" s="348"/>
      <c r="AV71" s="354">
        <f t="shared" si="71"/>
        <v>0</v>
      </c>
      <c r="AW71" s="349">
        <f t="shared" si="71"/>
        <v>0</v>
      </c>
      <c r="AX71" s="348"/>
      <c r="AY71" s="348"/>
      <c r="AZ71" s="348"/>
      <c r="BA71" s="348"/>
      <c r="BB71" s="349">
        <f t="shared" si="72"/>
        <v>0</v>
      </c>
      <c r="BC71" s="349">
        <f t="shared" si="72"/>
        <v>0</v>
      </c>
      <c r="BD71" s="348"/>
      <c r="BE71" s="348"/>
      <c r="BF71" s="348"/>
      <c r="BG71" s="348"/>
      <c r="BH71" s="349">
        <f t="shared" si="73"/>
        <v>0</v>
      </c>
      <c r="BI71" s="349">
        <f t="shared" si="73"/>
        <v>0</v>
      </c>
      <c r="BJ71" s="348"/>
      <c r="BK71" s="348"/>
      <c r="BL71" s="349">
        <f t="shared" si="74"/>
        <v>0</v>
      </c>
      <c r="BM71" s="349">
        <f t="shared" si="75"/>
        <v>0</v>
      </c>
    </row>
    <row r="72" spans="1:65" x14ac:dyDescent="0.25">
      <c r="A72" s="347" t="s">
        <v>723</v>
      </c>
      <c r="B72" s="354">
        <f>22.37</f>
        <v>22.37</v>
      </c>
      <c r="C72" s="348"/>
      <c r="D72" s="348"/>
      <c r="E72" s="348"/>
      <c r="F72" s="352"/>
      <c r="G72" s="348"/>
      <c r="H72" s="348"/>
      <c r="I72" s="348"/>
      <c r="J72" s="352"/>
      <c r="K72" s="348"/>
      <c r="L72" s="352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54">
        <f t="shared" si="69"/>
        <v>0</v>
      </c>
      <c r="AC72" s="349">
        <f t="shared" si="69"/>
        <v>0</v>
      </c>
      <c r="AD72" s="348"/>
      <c r="AE72" s="348"/>
      <c r="AF72" s="348"/>
      <c r="AG72" s="348"/>
      <c r="AH72" s="348"/>
      <c r="AI72" s="348"/>
      <c r="AJ72" s="348"/>
      <c r="AK72" s="348"/>
      <c r="AL72" s="354">
        <f t="shared" si="70"/>
        <v>0</v>
      </c>
      <c r="AM72" s="349">
        <f t="shared" si="70"/>
        <v>0</v>
      </c>
      <c r="AN72" s="352"/>
      <c r="AO72" s="348"/>
      <c r="AP72" s="352"/>
      <c r="AQ72" s="348"/>
      <c r="AR72" s="352"/>
      <c r="AS72" s="348"/>
      <c r="AT72" s="352"/>
      <c r="AU72" s="348"/>
      <c r="AV72" s="354">
        <f t="shared" si="71"/>
        <v>0</v>
      </c>
      <c r="AW72" s="349">
        <f t="shared" si="71"/>
        <v>0</v>
      </c>
      <c r="AX72" s="348"/>
      <c r="AY72" s="348"/>
      <c r="AZ72" s="348"/>
      <c r="BA72" s="348"/>
      <c r="BB72" s="349">
        <f t="shared" si="72"/>
        <v>0</v>
      </c>
      <c r="BC72" s="349">
        <f t="shared" si="72"/>
        <v>0</v>
      </c>
      <c r="BD72" s="348"/>
      <c r="BE72" s="348"/>
      <c r="BF72" s="348"/>
      <c r="BG72" s="348"/>
      <c r="BH72" s="349">
        <f t="shared" si="73"/>
        <v>0</v>
      </c>
      <c r="BI72" s="349">
        <f t="shared" si="73"/>
        <v>0</v>
      </c>
      <c r="BJ72" s="348"/>
      <c r="BK72" s="348"/>
      <c r="BL72" s="349">
        <f t="shared" si="74"/>
        <v>22.37</v>
      </c>
      <c r="BM72" s="349">
        <f t="shared" si="75"/>
        <v>0</v>
      </c>
    </row>
    <row r="73" spans="1:65" x14ac:dyDescent="0.25">
      <c r="A73" s="347" t="s">
        <v>724</v>
      </c>
      <c r="B73" s="353">
        <f t="shared" ref="B73:AA73" si="86">(B71)+(B72)</f>
        <v>22.37</v>
      </c>
      <c r="C73" s="350">
        <f t="shared" si="86"/>
        <v>0</v>
      </c>
      <c r="D73" s="350">
        <f t="shared" si="86"/>
        <v>0</v>
      </c>
      <c r="E73" s="350">
        <f t="shared" si="86"/>
        <v>0</v>
      </c>
      <c r="F73" s="353">
        <f t="shared" si="86"/>
        <v>0</v>
      </c>
      <c r="G73" s="350">
        <f t="shared" si="86"/>
        <v>0</v>
      </c>
      <c r="H73" s="350">
        <f t="shared" si="86"/>
        <v>0</v>
      </c>
      <c r="I73" s="350">
        <f t="shared" si="86"/>
        <v>0</v>
      </c>
      <c r="J73" s="353">
        <f t="shared" si="86"/>
        <v>0</v>
      </c>
      <c r="K73" s="350">
        <f t="shared" si="86"/>
        <v>0</v>
      </c>
      <c r="L73" s="353">
        <f t="shared" ref="L73" si="87">(L71)+(L72)</f>
        <v>0</v>
      </c>
      <c r="M73" s="350">
        <f t="shared" ref="M73" si="88">(M71)+(M72)</f>
        <v>0</v>
      </c>
      <c r="N73" s="350">
        <f t="shared" si="86"/>
        <v>0</v>
      </c>
      <c r="O73" s="350">
        <f t="shared" si="86"/>
        <v>0</v>
      </c>
      <c r="P73" s="350">
        <f t="shared" si="86"/>
        <v>0</v>
      </c>
      <c r="Q73" s="350">
        <f t="shared" si="86"/>
        <v>0</v>
      </c>
      <c r="R73" s="350">
        <f t="shared" si="86"/>
        <v>0</v>
      </c>
      <c r="S73" s="350">
        <f t="shared" si="86"/>
        <v>0</v>
      </c>
      <c r="T73" s="350">
        <f t="shared" si="86"/>
        <v>0</v>
      </c>
      <c r="U73" s="350">
        <f t="shared" si="86"/>
        <v>0</v>
      </c>
      <c r="V73" s="350">
        <f t="shared" si="86"/>
        <v>0</v>
      </c>
      <c r="W73" s="350">
        <f t="shared" si="86"/>
        <v>0</v>
      </c>
      <c r="X73" s="350">
        <f t="shared" si="86"/>
        <v>0</v>
      </c>
      <c r="Y73" s="350">
        <f t="shared" si="86"/>
        <v>0</v>
      </c>
      <c r="Z73" s="350">
        <f t="shared" si="86"/>
        <v>0</v>
      </c>
      <c r="AA73" s="350">
        <f t="shared" si="86"/>
        <v>0</v>
      </c>
      <c r="AB73" s="353">
        <f t="shared" si="69"/>
        <v>0</v>
      </c>
      <c r="AC73" s="350">
        <f t="shared" si="69"/>
        <v>0</v>
      </c>
      <c r="AD73" s="350">
        <f t="shared" ref="AD73:AK73" si="89">(AD71)+(AD72)</f>
        <v>0</v>
      </c>
      <c r="AE73" s="350">
        <f t="shared" si="89"/>
        <v>0</v>
      </c>
      <c r="AF73" s="350">
        <f t="shared" si="89"/>
        <v>0</v>
      </c>
      <c r="AG73" s="350">
        <f t="shared" si="89"/>
        <v>0</v>
      </c>
      <c r="AH73" s="350">
        <f t="shared" si="89"/>
        <v>0</v>
      </c>
      <c r="AI73" s="350">
        <f t="shared" si="89"/>
        <v>0</v>
      </c>
      <c r="AJ73" s="350">
        <f t="shared" si="89"/>
        <v>0</v>
      </c>
      <c r="AK73" s="350">
        <f t="shared" si="89"/>
        <v>0</v>
      </c>
      <c r="AL73" s="353">
        <f t="shared" si="70"/>
        <v>0</v>
      </c>
      <c r="AM73" s="350">
        <f t="shared" si="70"/>
        <v>0</v>
      </c>
      <c r="AN73" s="353">
        <f t="shared" ref="AN73:AU73" si="90">(AN71)+(AN72)</f>
        <v>0</v>
      </c>
      <c r="AO73" s="350">
        <f t="shared" si="90"/>
        <v>0</v>
      </c>
      <c r="AP73" s="353">
        <f t="shared" si="90"/>
        <v>0</v>
      </c>
      <c r="AQ73" s="350">
        <f t="shared" si="90"/>
        <v>0</v>
      </c>
      <c r="AR73" s="353">
        <f t="shared" si="90"/>
        <v>0</v>
      </c>
      <c r="AS73" s="350">
        <f t="shared" si="90"/>
        <v>0</v>
      </c>
      <c r="AT73" s="353">
        <f t="shared" si="90"/>
        <v>0</v>
      </c>
      <c r="AU73" s="350">
        <f t="shared" si="90"/>
        <v>0</v>
      </c>
      <c r="AV73" s="353">
        <f t="shared" si="71"/>
        <v>0</v>
      </c>
      <c r="AW73" s="350">
        <f t="shared" si="71"/>
        <v>0</v>
      </c>
      <c r="AX73" s="350">
        <f>(AX71)+(AX72)</f>
        <v>0</v>
      </c>
      <c r="AY73" s="350">
        <f>(AY71)+(AY72)</f>
        <v>0</v>
      </c>
      <c r="AZ73" s="350">
        <f>(AZ71)+(AZ72)</f>
        <v>0</v>
      </c>
      <c r="BA73" s="350">
        <f>(BA71)+(BA72)</f>
        <v>0</v>
      </c>
      <c r="BB73" s="350">
        <f t="shared" si="72"/>
        <v>0</v>
      </c>
      <c r="BC73" s="350">
        <f t="shared" si="72"/>
        <v>0</v>
      </c>
      <c r="BD73" s="350">
        <f>(BD71)+(BD72)</f>
        <v>0</v>
      </c>
      <c r="BE73" s="350">
        <f>(BE71)+(BE72)</f>
        <v>0</v>
      </c>
      <c r="BF73" s="350">
        <f>(BF71)+(BF72)</f>
        <v>0</v>
      </c>
      <c r="BG73" s="350">
        <f>(BG71)+(BG72)</f>
        <v>0</v>
      </c>
      <c r="BH73" s="350">
        <f t="shared" si="73"/>
        <v>0</v>
      </c>
      <c r="BI73" s="350">
        <f t="shared" si="73"/>
        <v>0</v>
      </c>
      <c r="BJ73" s="350">
        <f>(BJ71)+(BJ72)</f>
        <v>0</v>
      </c>
      <c r="BK73" s="350">
        <f>(BK71)+(BK72)</f>
        <v>0</v>
      </c>
      <c r="BL73" s="350">
        <f t="shared" si="74"/>
        <v>22.37</v>
      </c>
      <c r="BM73" s="350">
        <f t="shared" si="75"/>
        <v>0</v>
      </c>
    </row>
    <row r="74" spans="1:65" x14ac:dyDescent="0.25">
      <c r="A74" s="347" t="s">
        <v>725</v>
      </c>
      <c r="B74" s="353">
        <f t="shared" ref="B74:AA74" si="91">(B70)+(B73)</f>
        <v>22.37</v>
      </c>
      <c r="C74" s="350">
        <f t="shared" si="91"/>
        <v>0</v>
      </c>
      <c r="D74" s="350">
        <f t="shared" si="91"/>
        <v>0</v>
      </c>
      <c r="E74" s="350">
        <f t="shared" si="91"/>
        <v>0</v>
      </c>
      <c r="F74" s="353">
        <f t="shared" si="91"/>
        <v>0</v>
      </c>
      <c r="G74" s="350">
        <f t="shared" si="91"/>
        <v>0</v>
      </c>
      <c r="H74" s="350">
        <f t="shared" si="91"/>
        <v>0</v>
      </c>
      <c r="I74" s="350">
        <f t="shared" si="91"/>
        <v>0</v>
      </c>
      <c r="J74" s="353">
        <f t="shared" si="91"/>
        <v>0</v>
      </c>
      <c r="K74" s="350">
        <f t="shared" si="91"/>
        <v>0</v>
      </c>
      <c r="L74" s="353">
        <f t="shared" ref="L74" si="92">(L70)+(L73)</f>
        <v>0</v>
      </c>
      <c r="M74" s="350">
        <f t="shared" ref="M74" si="93">(M70)+(M73)</f>
        <v>0</v>
      </c>
      <c r="N74" s="350">
        <f t="shared" si="91"/>
        <v>0</v>
      </c>
      <c r="O74" s="350">
        <f t="shared" si="91"/>
        <v>0</v>
      </c>
      <c r="P74" s="350">
        <f t="shared" si="91"/>
        <v>0</v>
      </c>
      <c r="Q74" s="350">
        <f t="shared" si="91"/>
        <v>0</v>
      </c>
      <c r="R74" s="350">
        <f t="shared" si="91"/>
        <v>0</v>
      </c>
      <c r="S74" s="350">
        <f t="shared" si="91"/>
        <v>0</v>
      </c>
      <c r="T74" s="350">
        <f t="shared" si="91"/>
        <v>0</v>
      </c>
      <c r="U74" s="350">
        <f t="shared" si="91"/>
        <v>0</v>
      </c>
      <c r="V74" s="350">
        <f t="shared" si="91"/>
        <v>0</v>
      </c>
      <c r="W74" s="350">
        <f t="shared" si="91"/>
        <v>0</v>
      </c>
      <c r="X74" s="350">
        <f t="shared" si="91"/>
        <v>0</v>
      </c>
      <c r="Y74" s="350">
        <f t="shared" si="91"/>
        <v>0</v>
      </c>
      <c r="Z74" s="350">
        <f t="shared" si="91"/>
        <v>0</v>
      </c>
      <c r="AA74" s="350">
        <f t="shared" si="91"/>
        <v>0</v>
      </c>
      <c r="AB74" s="353">
        <f t="shared" si="69"/>
        <v>0</v>
      </c>
      <c r="AC74" s="350">
        <f t="shared" si="69"/>
        <v>0</v>
      </c>
      <c r="AD74" s="350">
        <f t="shared" ref="AD74:AK74" si="94">(AD70)+(AD73)</f>
        <v>0</v>
      </c>
      <c r="AE74" s="350">
        <f t="shared" si="94"/>
        <v>0</v>
      </c>
      <c r="AF74" s="350">
        <f t="shared" si="94"/>
        <v>0</v>
      </c>
      <c r="AG74" s="350">
        <f t="shared" si="94"/>
        <v>0</v>
      </c>
      <c r="AH74" s="350">
        <f t="shared" si="94"/>
        <v>0</v>
      </c>
      <c r="AI74" s="350">
        <f t="shared" si="94"/>
        <v>0</v>
      </c>
      <c r="AJ74" s="350">
        <f t="shared" si="94"/>
        <v>0</v>
      </c>
      <c r="AK74" s="350">
        <f t="shared" si="94"/>
        <v>0</v>
      </c>
      <c r="AL74" s="353">
        <f t="shared" si="70"/>
        <v>0</v>
      </c>
      <c r="AM74" s="350">
        <f t="shared" si="70"/>
        <v>0</v>
      </c>
      <c r="AN74" s="353">
        <f t="shared" ref="AN74:AU74" si="95">(AN70)+(AN73)</f>
        <v>0</v>
      </c>
      <c r="AO74" s="350">
        <f t="shared" si="95"/>
        <v>0</v>
      </c>
      <c r="AP74" s="353">
        <f t="shared" si="95"/>
        <v>0</v>
      </c>
      <c r="AQ74" s="350">
        <f t="shared" si="95"/>
        <v>0</v>
      </c>
      <c r="AR74" s="353">
        <f t="shared" si="95"/>
        <v>0</v>
      </c>
      <c r="AS74" s="350">
        <f t="shared" si="95"/>
        <v>0</v>
      </c>
      <c r="AT74" s="353">
        <f t="shared" si="95"/>
        <v>0</v>
      </c>
      <c r="AU74" s="350">
        <f t="shared" si="95"/>
        <v>0</v>
      </c>
      <c r="AV74" s="353">
        <f t="shared" si="71"/>
        <v>0</v>
      </c>
      <c r="AW74" s="350">
        <f t="shared" si="71"/>
        <v>0</v>
      </c>
      <c r="AX74" s="350">
        <f>(AX70)+(AX73)</f>
        <v>0</v>
      </c>
      <c r="AY74" s="350">
        <f>(AY70)+(AY73)</f>
        <v>0</v>
      </c>
      <c r="AZ74" s="350">
        <f>(AZ70)+(AZ73)</f>
        <v>0</v>
      </c>
      <c r="BA74" s="350">
        <f>(BA70)+(BA73)</f>
        <v>0</v>
      </c>
      <c r="BB74" s="350">
        <f t="shared" si="72"/>
        <v>0</v>
      </c>
      <c r="BC74" s="350">
        <f t="shared" si="72"/>
        <v>0</v>
      </c>
      <c r="BD74" s="350">
        <f>(BD70)+(BD73)</f>
        <v>0</v>
      </c>
      <c r="BE74" s="350">
        <f>(BE70)+(BE73)</f>
        <v>0</v>
      </c>
      <c r="BF74" s="350">
        <f>(BF70)+(BF73)</f>
        <v>0</v>
      </c>
      <c r="BG74" s="350">
        <f>(BG70)+(BG73)</f>
        <v>0</v>
      </c>
      <c r="BH74" s="350">
        <f t="shared" si="73"/>
        <v>0</v>
      </c>
      <c r="BI74" s="350">
        <f t="shared" si="73"/>
        <v>0</v>
      </c>
      <c r="BJ74" s="350">
        <f>(BJ70)+(BJ73)</f>
        <v>0</v>
      </c>
      <c r="BK74" s="350">
        <f>(BK70)+(BK73)</f>
        <v>0</v>
      </c>
      <c r="BL74" s="350">
        <f t="shared" si="74"/>
        <v>22.37</v>
      </c>
      <c r="BM74" s="350">
        <f t="shared" si="75"/>
        <v>0</v>
      </c>
    </row>
    <row r="75" spans="1:65" x14ac:dyDescent="0.25">
      <c r="A75" s="347" t="s">
        <v>726</v>
      </c>
      <c r="B75" s="352"/>
      <c r="C75" s="348"/>
      <c r="D75" s="348"/>
      <c r="E75" s="348"/>
      <c r="F75" s="352"/>
      <c r="G75" s="348"/>
      <c r="H75" s="348"/>
      <c r="I75" s="348"/>
      <c r="J75" s="352"/>
      <c r="K75" s="348"/>
      <c r="L75" s="352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54">
        <f t="shared" si="69"/>
        <v>0</v>
      </c>
      <c r="AC75" s="349">
        <f t="shared" si="69"/>
        <v>0</v>
      </c>
      <c r="AD75" s="348"/>
      <c r="AE75" s="348"/>
      <c r="AF75" s="348"/>
      <c r="AG75" s="348"/>
      <c r="AH75" s="348"/>
      <c r="AI75" s="348"/>
      <c r="AJ75" s="348"/>
      <c r="AK75" s="348"/>
      <c r="AL75" s="354">
        <f t="shared" si="70"/>
        <v>0</v>
      </c>
      <c r="AM75" s="349">
        <f t="shared" si="70"/>
        <v>0</v>
      </c>
      <c r="AN75" s="352"/>
      <c r="AO75" s="348"/>
      <c r="AP75" s="352"/>
      <c r="AQ75" s="348"/>
      <c r="AR75" s="352"/>
      <c r="AS75" s="348"/>
      <c r="AT75" s="352"/>
      <c r="AU75" s="348"/>
      <c r="AV75" s="354">
        <f t="shared" si="71"/>
        <v>0</v>
      </c>
      <c r="AW75" s="349">
        <f t="shared" si="71"/>
        <v>0</v>
      </c>
      <c r="AX75" s="348"/>
      <c r="AY75" s="348"/>
      <c r="AZ75" s="348"/>
      <c r="BA75" s="348"/>
      <c r="BB75" s="349">
        <f t="shared" si="72"/>
        <v>0</v>
      </c>
      <c r="BC75" s="349">
        <f t="shared" si="72"/>
        <v>0</v>
      </c>
      <c r="BD75" s="348"/>
      <c r="BE75" s="348"/>
      <c r="BF75" s="348"/>
      <c r="BG75" s="348"/>
      <c r="BH75" s="349">
        <f t="shared" si="73"/>
        <v>0</v>
      </c>
      <c r="BI75" s="349">
        <f t="shared" si="73"/>
        <v>0</v>
      </c>
      <c r="BJ75" s="348"/>
      <c r="BK75" s="348"/>
      <c r="BL75" s="349">
        <f t="shared" si="74"/>
        <v>0</v>
      </c>
      <c r="BM75" s="349">
        <f t="shared" si="75"/>
        <v>0</v>
      </c>
    </row>
    <row r="76" spans="1:65" x14ac:dyDescent="0.25">
      <c r="A76" s="347" t="s">
        <v>722</v>
      </c>
      <c r="B76" s="352"/>
      <c r="C76" s="348"/>
      <c r="D76" s="348"/>
      <c r="E76" s="348"/>
      <c r="F76" s="352"/>
      <c r="G76" s="348"/>
      <c r="H76" s="348"/>
      <c r="I76" s="348"/>
      <c r="J76" s="352"/>
      <c r="K76" s="348"/>
      <c r="L76" s="352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54">
        <f t="shared" si="69"/>
        <v>0</v>
      </c>
      <c r="AC76" s="349">
        <f t="shared" si="69"/>
        <v>0</v>
      </c>
      <c r="AD76" s="348"/>
      <c r="AE76" s="348"/>
      <c r="AF76" s="348"/>
      <c r="AG76" s="348"/>
      <c r="AH76" s="348"/>
      <c r="AI76" s="348"/>
      <c r="AJ76" s="348"/>
      <c r="AK76" s="348"/>
      <c r="AL76" s="354">
        <f t="shared" si="70"/>
        <v>0</v>
      </c>
      <c r="AM76" s="349">
        <f t="shared" si="70"/>
        <v>0</v>
      </c>
      <c r="AN76" s="352"/>
      <c r="AO76" s="348"/>
      <c r="AP76" s="352"/>
      <c r="AQ76" s="348"/>
      <c r="AR76" s="352"/>
      <c r="AS76" s="348"/>
      <c r="AT76" s="352"/>
      <c r="AU76" s="348"/>
      <c r="AV76" s="354">
        <f t="shared" si="71"/>
        <v>0</v>
      </c>
      <c r="AW76" s="349">
        <f t="shared" si="71"/>
        <v>0</v>
      </c>
      <c r="AX76" s="348"/>
      <c r="AY76" s="348"/>
      <c r="AZ76" s="348"/>
      <c r="BA76" s="348"/>
      <c r="BB76" s="349">
        <f t="shared" si="72"/>
        <v>0</v>
      </c>
      <c r="BC76" s="349">
        <f t="shared" si="72"/>
        <v>0</v>
      </c>
      <c r="BD76" s="348"/>
      <c r="BE76" s="348"/>
      <c r="BF76" s="348"/>
      <c r="BG76" s="348"/>
      <c r="BH76" s="349">
        <f t="shared" si="73"/>
        <v>0</v>
      </c>
      <c r="BI76" s="349">
        <f t="shared" si="73"/>
        <v>0</v>
      </c>
      <c r="BJ76" s="348"/>
      <c r="BK76" s="348"/>
      <c r="BL76" s="349">
        <f t="shared" si="74"/>
        <v>0</v>
      </c>
      <c r="BM76" s="349">
        <f t="shared" si="75"/>
        <v>0</v>
      </c>
    </row>
    <row r="77" spans="1:65" x14ac:dyDescent="0.25">
      <c r="A77" s="347" t="s">
        <v>727</v>
      </c>
      <c r="B77" s="354">
        <f>250</f>
        <v>250</v>
      </c>
      <c r="C77" s="348"/>
      <c r="D77" s="348"/>
      <c r="E77" s="348"/>
      <c r="F77" s="352"/>
      <c r="G77" s="348"/>
      <c r="H77" s="348"/>
      <c r="I77" s="348"/>
      <c r="J77" s="352"/>
      <c r="K77" s="348"/>
      <c r="L77" s="352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54">
        <f t="shared" si="69"/>
        <v>0</v>
      </c>
      <c r="AC77" s="349">
        <f t="shared" si="69"/>
        <v>0</v>
      </c>
      <c r="AD77" s="348"/>
      <c r="AE77" s="348"/>
      <c r="AF77" s="348"/>
      <c r="AG77" s="348"/>
      <c r="AH77" s="348"/>
      <c r="AI77" s="348"/>
      <c r="AJ77" s="348"/>
      <c r="AK77" s="348"/>
      <c r="AL77" s="354">
        <f t="shared" si="70"/>
        <v>0</v>
      </c>
      <c r="AM77" s="349">
        <f t="shared" si="70"/>
        <v>0</v>
      </c>
      <c r="AN77" s="352"/>
      <c r="AO77" s="348"/>
      <c r="AP77" s="352"/>
      <c r="AQ77" s="348"/>
      <c r="AR77" s="352"/>
      <c r="AS77" s="348"/>
      <c r="AT77" s="352"/>
      <c r="AU77" s="348"/>
      <c r="AV77" s="354">
        <f t="shared" si="71"/>
        <v>0</v>
      </c>
      <c r="AW77" s="349">
        <f t="shared" si="71"/>
        <v>0</v>
      </c>
      <c r="AX77" s="348"/>
      <c r="AY77" s="348"/>
      <c r="AZ77" s="348"/>
      <c r="BA77" s="348"/>
      <c r="BB77" s="349">
        <f t="shared" si="72"/>
        <v>0</v>
      </c>
      <c r="BC77" s="349">
        <f t="shared" si="72"/>
        <v>0</v>
      </c>
      <c r="BD77" s="348"/>
      <c r="BE77" s="348"/>
      <c r="BF77" s="348"/>
      <c r="BG77" s="348"/>
      <c r="BH77" s="349">
        <f t="shared" si="73"/>
        <v>0</v>
      </c>
      <c r="BI77" s="349">
        <f t="shared" si="73"/>
        <v>0</v>
      </c>
      <c r="BJ77" s="348"/>
      <c r="BK77" s="348"/>
      <c r="BL77" s="349">
        <f t="shared" si="74"/>
        <v>250</v>
      </c>
      <c r="BM77" s="349">
        <f t="shared" si="75"/>
        <v>0</v>
      </c>
    </row>
    <row r="78" spans="1:65" x14ac:dyDescent="0.25">
      <c r="A78" s="347" t="s">
        <v>724</v>
      </c>
      <c r="B78" s="353">
        <f t="shared" ref="B78:AA78" si="96">(B76)+(B77)</f>
        <v>250</v>
      </c>
      <c r="C78" s="350">
        <f t="shared" si="96"/>
        <v>0</v>
      </c>
      <c r="D78" s="350">
        <f t="shared" si="96"/>
        <v>0</v>
      </c>
      <c r="E78" s="350">
        <f t="shared" si="96"/>
        <v>0</v>
      </c>
      <c r="F78" s="353">
        <f t="shared" si="96"/>
        <v>0</v>
      </c>
      <c r="G78" s="350">
        <f t="shared" si="96"/>
        <v>0</v>
      </c>
      <c r="H78" s="350">
        <f t="shared" si="96"/>
        <v>0</v>
      </c>
      <c r="I78" s="350">
        <f t="shared" si="96"/>
        <v>0</v>
      </c>
      <c r="J78" s="353">
        <f t="shared" si="96"/>
        <v>0</v>
      </c>
      <c r="K78" s="350">
        <f t="shared" si="96"/>
        <v>0</v>
      </c>
      <c r="L78" s="353">
        <f t="shared" ref="L78" si="97">(L76)+(L77)</f>
        <v>0</v>
      </c>
      <c r="M78" s="350">
        <f t="shared" ref="M78" si="98">(M76)+(M77)</f>
        <v>0</v>
      </c>
      <c r="N78" s="350">
        <f t="shared" si="96"/>
        <v>0</v>
      </c>
      <c r="O78" s="350">
        <f t="shared" si="96"/>
        <v>0</v>
      </c>
      <c r="P78" s="350">
        <f t="shared" si="96"/>
        <v>0</v>
      </c>
      <c r="Q78" s="350">
        <f t="shared" si="96"/>
        <v>0</v>
      </c>
      <c r="R78" s="350">
        <f t="shared" si="96"/>
        <v>0</v>
      </c>
      <c r="S78" s="350">
        <f t="shared" si="96"/>
        <v>0</v>
      </c>
      <c r="T78" s="350">
        <f t="shared" si="96"/>
        <v>0</v>
      </c>
      <c r="U78" s="350">
        <f t="shared" si="96"/>
        <v>0</v>
      </c>
      <c r="V78" s="350">
        <f t="shared" si="96"/>
        <v>0</v>
      </c>
      <c r="W78" s="350">
        <f t="shared" si="96"/>
        <v>0</v>
      </c>
      <c r="X78" s="350">
        <f t="shared" si="96"/>
        <v>0</v>
      </c>
      <c r="Y78" s="350">
        <f t="shared" si="96"/>
        <v>0</v>
      </c>
      <c r="Z78" s="350">
        <f t="shared" si="96"/>
        <v>0</v>
      </c>
      <c r="AA78" s="350">
        <f t="shared" si="96"/>
        <v>0</v>
      </c>
      <c r="AB78" s="353">
        <f t="shared" si="69"/>
        <v>0</v>
      </c>
      <c r="AC78" s="350">
        <f t="shared" si="69"/>
        <v>0</v>
      </c>
      <c r="AD78" s="350">
        <f t="shared" ref="AD78:AK78" si="99">(AD76)+(AD77)</f>
        <v>0</v>
      </c>
      <c r="AE78" s="350">
        <f t="shared" si="99"/>
        <v>0</v>
      </c>
      <c r="AF78" s="350">
        <f t="shared" si="99"/>
        <v>0</v>
      </c>
      <c r="AG78" s="350">
        <f t="shared" si="99"/>
        <v>0</v>
      </c>
      <c r="AH78" s="350">
        <f t="shared" si="99"/>
        <v>0</v>
      </c>
      <c r="AI78" s="350">
        <f t="shared" si="99"/>
        <v>0</v>
      </c>
      <c r="AJ78" s="350">
        <f t="shared" si="99"/>
        <v>0</v>
      </c>
      <c r="AK78" s="350">
        <f t="shared" si="99"/>
        <v>0</v>
      </c>
      <c r="AL78" s="353">
        <f t="shared" si="70"/>
        <v>0</v>
      </c>
      <c r="AM78" s="350">
        <f t="shared" si="70"/>
        <v>0</v>
      </c>
      <c r="AN78" s="353">
        <f t="shared" ref="AN78:AU78" si="100">(AN76)+(AN77)</f>
        <v>0</v>
      </c>
      <c r="AO78" s="350">
        <f t="shared" si="100"/>
        <v>0</v>
      </c>
      <c r="AP78" s="353">
        <f t="shared" si="100"/>
        <v>0</v>
      </c>
      <c r="AQ78" s="350">
        <f t="shared" si="100"/>
        <v>0</v>
      </c>
      <c r="AR78" s="353">
        <f t="shared" si="100"/>
        <v>0</v>
      </c>
      <c r="AS78" s="350">
        <f t="shared" si="100"/>
        <v>0</v>
      </c>
      <c r="AT78" s="353">
        <f t="shared" si="100"/>
        <v>0</v>
      </c>
      <c r="AU78" s="350">
        <f t="shared" si="100"/>
        <v>0</v>
      </c>
      <c r="AV78" s="353">
        <f t="shared" si="71"/>
        <v>0</v>
      </c>
      <c r="AW78" s="350">
        <f t="shared" si="71"/>
        <v>0</v>
      </c>
      <c r="AX78" s="350">
        <f>(AX76)+(AX77)</f>
        <v>0</v>
      </c>
      <c r="AY78" s="350">
        <f>(AY76)+(AY77)</f>
        <v>0</v>
      </c>
      <c r="AZ78" s="350">
        <f>(AZ76)+(AZ77)</f>
        <v>0</v>
      </c>
      <c r="BA78" s="350">
        <f>(BA76)+(BA77)</f>
        <v>0</v>
      </c>
      <c r="BB78" s="350">
        <f t="shared" si="72"/>
        <v>0</v>
      </c>
      <c r="BC78" s="350">
        <f t="shared" si="72"/>
        <v>0</v>
      </c>
      <c r="BD78" s="350">
        <f>(BD76)+(BD77)</f>
        <v>0</v>
      </c>
      <c r="BE78" s="350">
        <f>(BE76)+(BE77)</f>
        <v>0</v>
      </c>
      <c r="BF78" s="350">
        <f>(BF76)+(BF77)</f>
        <v>0</v>
      </c>
      <c r="BG78" s="350">
        <f>(BG76)+(BG77)</f>
        <v>0</v>
      </c>
      <c r="BH78" s="350">
        <f t="shared" si="73"/>
        <v>0</v>
      </c>
      <c r="BI78" s="350">
        <f t="shared" si="73"/>
        <v>0</v>
      </c>
      <c r="BJ78" s="350">
        <f>(BJ76)+(BJ77)</f>
        <v>0</v>
      </c>
      <c r="BK78" s="350">
        <f>(BK76)+(BK77)</f>
        <v>0</v>
      </c>
      <c r="BL78" s="350">
        <f t="shared" si="74"/>
        <v>250</v>
      </c>
      <c r="BM78" s="350">
        <f t="shared" si="75"/>
        <v>0</v>
      </c>
    </row>
    <row r="79" spans="1:65" x14ac:dyDescent="0.25">
      <c r="A79" s="347" t="s">
        <v>728</v>
      </c>
      <c r="B79" s="353">
        <f t="shared" ref="B79:AA79" si="101">(B75)+(B78)</f>
        <v>250</v>
      </c>
      <c r="C79" s="350">
        <f t="shared" si="101"/>
        <v>0</v>
      </c>
      <c r="D79" s="350">
        <f t="shared" si="101"/>
        <v>0</v>
      </c>
      <c r="E79" s="350">
        <f t="shared" si="101"/>
        <v>0</v>
      </c>
      <c r="F79" s="353">
        <f t="shared" si="101"/>
        <v>0</v>
      </c>
      <c r="G79" s="350">
        <f t="shared" si="101"/>
        <v>0</v>
      </c>
      <c r="H79" s="350">
        <f t="shared" si="101"/>
        <v>0</v>
      </c>
      <c r="I79" s="350">
        <f t="shared" si="101"/>
        <v>0</v>
      </c>
      <c r="J79" s="353">
        <f t="shared" si="101"/>
        <v>0</v>
      </c>
      <c r="K79" s="350">
        <f t="shared" si="101"/>
        <v>0</v>
      </c>
      <c r="L79" s="353">
        <f t="shared" ref="L79" si="102">(L75)+(L78)</f>
        <v>0</v>
      </c>
      <c r="M79" s="350">
        <f t="shared" ref="M79" si="103">(M75)+(M78)</f>
        <v>0</v>
      </c>
      <c r="N79" s="350">
        <f t="shared" si="101"/>
        <v>0</v>
      </c>
      <c r="O79" s="350">
        <f t="shared" si="101"/>
        <v>0</v>
      </c>
      <c r="P79" s="350">
        <f t="shared" si="101"/>
        <v>0</v>
      </c>
      <c r="Q79" s="350">
        <f t="shared" si="101"/>
        <v>0</v>
      </c>
      <c r="R79" s="350">
        <f t="shared" si="101"/>
        <v>0</v>
      </c>
      <c r="S79" s="350">
        <f t="shared" si="101"/>
        <v>0</v>
      </c>
      <c r="T79" s="350">
        <f t="shared" si="101"/>
        <v>0</v>
      </c>
      <c r="U79" s="350">
        <f t="shared" si="101"/>
        <v>0</v>
      </c>
      <c r="V79" s="350">
        <f t="shared" si="101"/>
        <v>0</v>
      </c>
      <c r="W79" s="350">
        <f t="shared" si="101"/>
        <v>0</v>
      </c>
      <c r="X79" s="350">
        <f t="shared" si="101"/>
        <v>0</v>
      </c>
      <c r="Y79" s="350">
        <f t="shared" si="101"/>
        <v>0</v>
      </c>
      <c r="Z79" s="350">
        <f t="shared" si="101"/>
        <v>0</v>
      </c>
      <c r="AA79" s="350">
        <f t="shared" si="101"/>
        <v>0</v>
      </c>
      <c r="AB79" s="353">
        <f t="shared" si="69"/>
        <v>0</v>
      </c>
      <c r="AC79" s="350">
        <f t="shared" si="69"/>
        <v>0</v>
      </c>
      <c r="AD79" s="350">
        <f t="shared" ref="AD79:AK79" si="104">(AD75)+(AD78)</f>
        <v>0</v>
      </c>
      <c r="AE79" s="350">
        <f t="shared" si="104"/>
        <v>0</v>
      </c>
      <c r="AF79" s="350">
        <f t="shared" si="104"/>
        <v>0</v>
      </c>
      <c r="AG79" s="350">
        <f t="shared" si="104"/>
        <v>0</v>
      </c>
      <c r="AH79" s="350">
        <f t="shared" si="104"/>
        <v>0</v>
      </c>
      <c r="AI79" s="350">
        <f t="shared" si="104"/>
        <v>0</v>
      </c>
      <c r="AJ79" s="350">
        <f t="shared" si="104"/>
        <v>0</v>
      </c>
      <c r="AK79" s="350">
        <f t="shared" si="104"/>
        <v>0</v>
      </c>
      <c r="AL79" s="353">
        <f t="shared" si="70"/>
        <v>0</v>
      </c>
      <c r="AM79" s="350">
        <f t="shared" si="70"/>
        <v>0</v>
      </c>
      <c r="AN79" s="353">
        <f t="shared" ref="AN79:AU79" si="105">(AN75)+(AN78)</f>
        <v>0</v>
      </c>
      <c r="AO79" s="350">
        <f t="shared" si="105"/>
        <v>0</v>
      </c>
      <c r="AP79" s="353">
        <f t="shared" si="105"/>
        <v>0</v>
      </c>
      <c r="AQ79" s="350">
        <f t="shared" si="105"/>
        <v>0</v>
      </c>
      <c r="AR79" s="353">
        <f t="shared" si="105"/>
        <v>0</v>
      </c>
      <c r="AS79" s="350">
        <f t="shared" si="105"/>
        <v>0</v>
      </c>
      <c r="AT79" s="353">
        <f t="shared" si="105"/>
        <v>0</v>
      </c>
      <c r="AU79" s="350">
        <f t="shared" si="105"/>
        <v>0</v>
      </c>
      <c r="AV79" s="353">
        <f t="shared" si="71"/>
        <v>0</v>
      </c>
      <c r="AW79" s="350">
        <f t="shared" si="71"/>
        <v>0</v>
      </c>
      <c r="AX79" s="350">
        <f>(AX75)+(AX78)</f>
        <v>0</v>
      </c>
      <c r="AY79" s="350">
        <f>(AY75)+(AY78)</f>
        <v>0</v>
      </c>
      <c r="AZ79" s="350">
        <f>(AZ75)+(AZ78)</f>
        <v>0</v>
      </c>
      <c r="BA79" s="350">
        <f>(BA75)+(BA78)</f>
        <v>0</v>
      </c>
      <c r="BB79" s="350">
        <f t="shared" si="72"/>
        <v>0</v>
      </c>
      <c r="BC79" s="350">
        <f t="shared" si="72"/>
        <v>0</v>
      </c>
      <c r="BD79" s="350">
        <f>(BD75)+(BD78)</f>
        <v>0</v>
      </c>
      <c r="BE79" s="350">
        <f>(BE75)+(BE78)</f>
        <v>0</v>
      </c>
      <c r="BF79" s="350">
        <f>(BF75)+(BF78)</f>
        <v>0</v>
      </c>
      <c r="BG79" s="350">
        <f>(BG75)+(BG78)</f>
        <v>0</v>
      </c>
      <c r="BH79" s="350">
        <f t="shared" si="73"/>
        <v>0</v>
      </c>
      <c r="BI79" s="350">
        <f t="shared" si="73"/>
        <v>0</v>
      </c>
      <c r="BJ79" s="350">
        <f>(BJ75)+(BJ78)</f>
        <v>0</v>
      </c>
      <c r="BK79" s="350">
        <f>(BK75)+(BK78)</f>
        <v>0</v>
      </c>
      <c r="BL79" s="350">
        <f t="shared" si="74"/>
        <v>250</v>
      </c>
      <c r="BM79" s="350">
        <f t="shared" si="75"/>
        <v>0</v>
      </c>
    </row>
    <row r="80" spans="1:65" x14ac:dyDescent="0.25">
      <c r="A80" s="347" t="s">
        <v>729</v>
      </c>
      <c r="B80" s="352"/>
      <c r="C80" s="348"/>
      <c r="D80" s="348"/>
      <c r="E80" s="348"/>
      <c r="F80" s="352"/>
      <c r="G80" s="348"/>
      <c r="H80" s="348"/>
      <c r="I80" s="348"/>
      <c r="J80" s="352"/>
      <c r="K80" s="348"/>
      <c r="L80" s="352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54">
        <f t="shared" si="69"/>
        <v>0</v>
      </c>
      <c r="AC80" s="349">
        <f t="shared" si="69"/>
        <v>0</v>
      </c>
      <c r="AD80" s="348"/>
      <c r="AE80" s="348"/>
      <c r="AF80" s="348"/>
      <c r="AG80" s="348"/>
      <c r="AH80" s="348"/>
      <c r="AI80" s="348"/>
      <c r="AJ80" s="348"/>
      <c r="AK80" s="348"/>
      <c r="AL80" s="354">
        <f t="shared" si="70"/>
        <v>0</v>
      </c>
      <c r="AM80" s="349">
        <f t="shared" si="70"/>
        <v>0</v>
      </c>
      <c r="AN80" s="352"/>
      <c r="AO80" s="348"/>
      <c r="AP80" s="352"/>
      <c r="AQ80" s="348"/>
      <c r="AR80" s="352"/>
      <c r="AS80" s="348"/>
      <c r="AT80" s="352"/>
      <c r="AU80" s="348"/>
      <c r="AV80" s="354">
        <f t="shared" si="71"/>
        <v>0</v>
      </c>
      <c r="AW80" s="349">
        <f t="shared" si="71"/>
        <v>0</v>
      </c>
      <c r="AX80" s="348"/>
      <c r="AY80" s="348"/>
      <c r="AZ80" s="348"/>
      <c r="BA80" s="348"/>
      <c r="BB80" s="349">
        <f t="shared" si="72"/>
        <v>0</v>
      </c>
      <c r="BC80" s="349">
        <f t="shared" si="72"/>
        <v>0</v>
      </c>
      <c r="BD80" s="348"/>
      <c r="BE80" s="348"/>
      <c r="BF80" s="348"/>
      <c r="BG80" s="348"/>
      <c r="BH80" s="349">
        <f t="shared" si="73"/>
        <v>0</v>
      </c>
      <c r="BI80" s="349">
        <f t="shared" si="73"/>
        <v>0</v>
      </c>
      <c r="BJ80" s="348"/>
      <c r="BK80" s="348"/>
      <c r="BL80" s="349">
        <f t="shared" si="74"/>
        <v>0</v>
      </c>
      <c r="BM80" s="349">
        <f t="shared" si="75"/>
        <v>0</v>
      </c>
    </row>
    <row r="81" spans="1:65" x14ac:dyDescent="0.25">
      <c r="A81" s="347" t="s">
        <v>722</v>
      </c>
      <c r="B81" s="352"/>
      <c r="C81" s="348"/>
      <c r="D81" s="348"/>
      <c r="E81" s="348"/>
      <c r="F81" s="352"/>
      <c r="G81" s="348"/>
      <c r="H81" s="348"/>
      <c r="I81" s="348"/>
      <c r="J81" s="352"/>
      <c r="K81" s="348"/>
      <c r="L81" s="352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/>
      <c r="AA81" s="348"/>
      <c r="AB81" s="354">
        <f t="shared" si="69"/>
        <v>0</v>
      </c>
      <c r="AC81" s="349">
        <f t="shared" si="69"/>
        <v>0</v>
      </c>
      <c r="AD81" s="348"/>
      <c r="AE81" s="348"/>
      <c r="AF81" s="348"/>
      <c r="AG81" s="348"/>
      <c r="AH81" s="348"/>
      <c r="AI81" s="348"/>
      <c r="AJ81" s="348"/>
      <c r="AK81" s="348"/>
      <c r="AL81" s="354">
        <f t="shared" si="70"/>
        <v>0</v>
      </c>
      <c r="AM81" s="349">
        <f t="shared" si="70"/>
        <v>0</v>
      </c>
      <c r="AN81" s="352"/>
      <c r="AO81" s="348"/>
      <c r="AP81" s="352"/>
      <c r="AQ81" s="348"/>
      <c r="AR81" s="352"/>
      <c r="AS81" s="348"/>
      <c r="AT81" s="352"/>
      <c r="AU81" s="348"/>
      <c r="AV81" s="354">
        <f t="shared" si="71"/>
        <v>0</v>
      </c>
      <c r="AW81" s="349">
        <f t="shared" si="71"/>
        <v>0</v>
      </c>
      <c r="AX81" s="348"/>
      <c r="AY81" s="348"/>
      <c r="AZ81" s="348"/>
      <c r="BA81" s="348"/>
      <c r="BB81" s="349">
        <f t="shared" si="72"/>
        <v>0</v>
      </c>
      <c r="BC81" s="349">
        <f t="shared" si="72"/>
        <v>0</v>
      </c>
      <c r="BD81" s="348"/>
      <c r="BE81" s="348"/>
      <c r="BF81" s="348"/>
      <c r="BG81" s="348"/>
      <c r="BH81" s="349">
        <f t="shared" si="73"/>
        <v>0</v>
      </c>
      <c r="BI81" s="349">
        <f t="shared" si="73"/>
        <v>0</v>
      </c>
      <c r="BJ81" s="348"/>
      <c r="BK81" s="348"/>
      <c r="BL81" s="349">
        <f t="shared" si="74"/>
        <v>0</v>
      </c>
      <c r="BM81" s="349">
        <f t="shared" si="75"/>
        <v>0</v>
      </c>
    </row>
    <row r="82" spans="1:65" x14ac:dyDescent="0.25">
      <c r="A82" s="347" t="s">
        <v>730</v>
      </c>
      <c r="B82" s="354">
        <f>108.93</f>
        <v>108.93</v>
      </c>
      <c r="C82" s="348"/>
      <c r="D82" s="348"/>
      <c r="E82" s="348"/>
      <c r="F82" s="352"/>
      <c r="G82" s="348"/>
      <c r="H82" s="348"/>
      <c r="I82" s="348"/>
      <c r="J82" s="352"/>
      <c r="K82" s="348"/>
      <c r="L82" s="352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8"/>
      <c r="AB82" s="354">
        <f t="shared" si="69"/>
        <v>0</v>
      </c>
      <c r="AC82" s="349">
        <f t="shared" si="69"/>
        <v>0</v>
      </c>
      <c r="AD82" s="348"/>
      <c r="AE82" s="348"/>
      <c r="AF82" s="348"/>
      <c r="AG82" s="348"/>
      <c r="AH82" s="348"/>
      <c r="AI82" s="348"/>
      <c r="AJ82" s="348"/>
      <c r="AK82" s="348"/>
      <c r="AL82" s="354">
        <f t="shared" si="70"/>
        <v>0</v>
      </c>
      <c r="AM82" s="349">
        <f t="shared" si="70"/>
        <v>0</v>
      </c>
      <c r="AN82" s="352"/>
      <c r="AO82" s="348"/>
      <c r="AP82" s="352"/>
      <c r="AQ82" s="348"/>
      <c r="AR82" s="352"/>
      <c r="AS82" s="348"/>
      <c r="AT82" s="352"/>
      <c r="AU82" s="348"/>
      <c r="AV82" s="354">
        <f t="shared" si="71"/>
        <v>0</v>
      </c>
      <c r="AW82" s="349">
        <f t="shared" si="71"/>
        <v>0</v>
      </c>
      <c r="AX82" s="348"/>
      <c r="AY82" s="348"/>
      <c r="AZ82" s="348"/>
      <c r="BA82" s="348"/>
      <c r="BB82" s="349">
        <f t="shared" si="72"/>
        <v>0</v>
      </c>
      <c r="BC82" s="349">
        <f t="shared" si="72"/>
        <v>0</v>
      </c>
      <c r="BD82" s="348"/>
      <c r="BE82" s="348"/>
      <c r="BF82" s="348"/>
      <c r="BG82" s="348"/>
      <c r="BH82" s="349">
        <f t="shared" si="73"/>
        <v>0</v>
      </c>
      <c r="BI82" s="349">
        <f t="shared" si="73"/>
        <v>0</v>
      </c>
      <c r="BJ82" s="348"/>
      <c r="BK82" s="348"/>
      <c r="BL82" s="349">
        <f t="shared" si="74"/>
        <v>108.93</v>
      </c>
      <c r="BM82" s="349">
        <f t="shared" si="75"/>
        <v>0</v>
      </c>
    </row>
    <row r="83" spans="1:65" x14ac:dyDescent="0.25">
      <c r="A83" s="347" t="s">
        <v>724</v>
      </c>
      <c r="B83" s="353">
        <f t="shared" ref="B83:AA83" si="106">(B81)+(B82)</f>
        <v>108.93</v>
      </c>
      <c r="C83" s="350">
        <f t="shared" si="106"/>
        <v>0</v>
      </c>
      <c r="D83" s="350">
        <f t="shared" si="106"/>
        <v>0</v>
      </c>
      <c r="E83" s="350">
        <f t="shared" si="106"/>
        <v>0</v>
      </c>
      <c r="F83" s="353">
        <f t="shared" si="106"/>
        <v>0</v>
      </c>
      <c r="G83" s="350">
        <f t="shared" si="106"/>
        <v>0</v>
      </c>
      <c r="H83" s="350">
        <f t="shared" si="106"/>
        <v>0</v>
      </c>
      <c r="I83" s="350">
        <f t="shared" si="106"/>
        <v>0</v>
      </c>
      <c r="J83" s="353">
        <f t="shared" si="106"/>
        <v>0</v>
      </c>
      <c r="K83" s="350">
        <f t="shared" si="106"/>
        <v>0</v>
      </c>
      <c r="L83" s="353">
        <f t="shared" ref="L83" si="107">(L81)+(L82)</f>
        <v>0</v>
      </c>
      <c r="M83" s="350">
        <f t="shared" ref="M83" si="108">(M81)+(M82)</f>
        <v>0</v>
      </c>
      <c r="N83" s="350">
        <f t="shared" si="106"/>
        <v>0</v>
      </c>
      <c r="O83" s="350">
        <f t="shared" si="106"/>
        <v>0</v>
      </c>
      <c r="P83" s="350">
        <f t="shared" si="106"/>
        <v>0</v>
      </c>
      <c r="Q83" s="350">
        <f t="shared" si="106"/>
        <v>0</v>
      </c>
      <c r="R83" s="350">
        <f t="shared" si="106"/>
        <v>0</v>
      </c>
      <c r="S83" s="350">
        <f t="shared" si="106"/>
        <v>0</v>
      </c>
      <c r="T83" s="350">
        <f t="shared" si="106"/>
        <v>0</v>
      </c>
      <c r="U83" s="350">
        <f t="shared" si="106"/>
        <v>0</v>
      </c>
      <c r="V83" s="350">
        <f t="shared" si="106"/>
        <v>0</v>
      </c>
      <c r="W83" s="350">
        <f t="shared" si="106"/>
        <v>0</v>
      </c>
      <c r="X83" s="350">
        <f t="shared" si="106"/>
        <v>0</v>
      </c>
      <c r="Y83" s="350">
        <f t="shared" si="106"/>
        <v>0</v>
      </c>
      <c r="Z83" s="350">
        <f t="shared" si="106"/>
        <v>0</v>
      </c>
      <c r="AA83" s="350">
        <f t="shared" si="106"/>
        <v>0</v>
      </c>
      <c r="AB83" s="353">
        <f t="shared" si="69"/>
        <v>0</v>
      </c>
      <c r="AC83" s="350">
        <f t="shared" si="69"/>
        <v>0</v>
      </c>
      <c r="AD83" s="350">
        <f t="shared" ref="AD83:AK83" si="109">(AD81)+(AD82)</f>
        <v>0</v>
      </c>
      <c r="AE83" s="350">
        <f t="shared" si="109"/>
        <v>0</v>
      </c>
      <c r="AF83" s="350">
        <f t="shared" si="109"/>
        <v>0</v>
      </c>
      <c r="AG83" s="350">
        <f t="shared" si="109"/>
        <v>0</v>
      </c>
      <c r="AH83" s="350">
        <f t="shared" si="109"/>
        <v>0</v>
      </c>
      <c r="AI83" s="350">
        <f t="shared" si="109"/>
        <v>0</v>
      </c>
      <c r="AJ83" s="350">
        <f t="shared" si="109"/>
        <v>0</v>
      </c>
      <c r="AK83" s="350">
        <f t="shared" si="109"/>
        <v>0</v>
      </c>
      <c r="AL83" s="353">
        <f t="shared" si="70"/>
        <v>0</v>
      </c>
      <c r="AM83" s="350">
        <f t="shared" si="70"/>
        <v>0</v>
      </c>
      <c r="AN83" s="353">
        <f t="shared" ref="AN83:AU83" si="110">(AN81)+(AN82)</f>
        <v>0</v>
      </c>
      <c r="AO83" s="350">
        <f t="shared" si="110"/>
        <v>0</v>
      </c>
      <c r="AP83" s="353">
        <f t="shared" si="110"/>
        <v>0</v>
      </c>
      <c r="AQ83" s="350">
        <f t="shared" si="110"/>
        <v>0</v>
      </c>
      <c r="AR83" s="353">
        <f t="shared" si="110"/>
        <v>0</v>
      </c>
      <c r="AS83" s="350">
        <f t="shared" si="110"/>
        <v>0</v>
      </c>
      <c r="AT83" s="353">
        <f t="shared" si="110"/>
        <v>0</v>
      </c>
      <c r="AU83" s="350">
        <f t="shared" si="110"/>
        <v>0</v>
      </c>
      <c r="AV83" s="353">
        <f t="shared" si="71"/>
        <v>0</v>
      </c>
      <c r="AW83" s="350">
        <f t="shared" si="71"/>
        <v>0</v>
      </c>
      <c r="AX83" s="350">
        <f>(AX81)+(AX82)</f>
        <v>0</v>
      </c>
      <c r="AY83" s="350">
        <f>(AY81)+(AY82)</f>
        <v>0</v>
      </c>
      <c r="AZ83" s="350">
        <f>(AZ81)+(AZ82)</f>
        <v>0</v>
      </c>
      <c r="BA83" s="350">
        <f>(BA81)+(BA82)</f>
        <v>0</v>
      </c>
      <c r="BB83" s="350">
        <f t="shared" si="72"/>
        <v>0</v>
      </c>
      <c r="BC83" s="350">
        <f t="shared" si="72"/>
        <v>0</v>
      </c>
      <c r="BD83" s="350">
        <f>(BD81)+(BD82)</f>
        <v>0</v>
      </c>
      <c r="BE83" s="350">
        <f>(BE81)+(BE82)</f>
        <v>0</v>
      </c>
      <c r="BF83" s="350">
        <f>(BF81)+(BF82)</f>
        <v>0</v>
      </c>
      <c r="BG83" s="350">
        <f>(BG81)+(BG82)</f>
        <v>0</v>
      </c>
      <c r="BH83" s="350">
        <f t="shared" si="73"/>
        <v>0</v>
      </c>
      <c r="BI83" s="350">
        <f t="shared" si="73"/>
        <v>0</v>
      </c>
      <c r="BJ83" s="350">
        <f>(BJ81)+(BJ82)</f>
        <v>0</v>
      </c>
      <c r="BK83" s="350">
        <f>(BK81)+(BK82)</f>
        <v>0</v>
      </c>
      <c r="BL83" s="350">
        <f t="shared" si="74"/>
        <v>108.93</v>
      </c>
      <c r="BM83" s="350">
        <f t="shared" si="75"/>
        <v>0</v>
      </c>
    </row>
    <row r="84" spans="1:65" x14ac:dyDescent="0.25">
      <c r="A84" s="347" t="s">
        <v>731</v>
      </c>
      <c r="B84" s="353">
        <f t="shared" ref="B84:AA84" si="111">(B80)+(B83)</f>
        <v>108.93</v>
      </c>
      <c r="C84" s="350">
        <f t="shared" si="111"/>
        <v>0</v>
      </c>
      <c r="D84" s="350">
        <f t="shared" si="111"/>
        <v>0</v>
      </c>
      <c r="E84" s="350">
        <f t="shared" si="111"/>
        <v>0</v>
      </c>
      <c r="F84" s="353">
        <f t="shared" si="111"/>
        <v>0</v>
      </c>
      <c r="G84" s="350">
        <f t="shared" si="111"/>
        <v>0</v>
      </c>
      <c r="H84" s="350">
        <f t="shared" si="111"/>
        <v>0</v>
      </c>
      <c r="I84" s="350">
        <f t="shared" si="111"/>
        <v>0</v>
      </c>
      <c r="J84" s="353">
        <f t="shared" si="111"/>
        <v>0</v>
      </c>
      <c r="K84" s="350">
        <f t="shared" si="111"/>
        <v>0</v>
      </c>
      <c r="L84" s="353">
        <f t="shared" ref="L84" si="112">(L80)+(L83)</f>
        <v>0</v>
      </c>
      <c r="M84" s="350">
        <f t="shared" ref="M84" si="113">(M80)+(M83)</f>
        <v>0</v>
      </c>
      <c r="N84" s="350">
        <f t="shared" si="111"/>
        <v>0</v>
      </c>
      <c r="O84" s="350">
        <f t="shared" si="111"/>
        <v>0</v>
      </c>
      <c r="P84" s="350">
        <f t="shared" si="111"/>
        <v>0</v>
      </c>
      <c r="Q84" s="350">
        <f t="shared" si="111"/>
        <v>0</v>
      </c>
      <c r="R84" s="350">
        <f t="shared" si="111"/>
        <v>0</v>
      </c>
      <c r="S84" s="350">
        <f t="shared" si="111"/>
        <v>0</v>
      </c>
      <c r="T84" s="350">
        <f t="shared" si="111"/>
        <v>0</v>
      </c>
      <c r="U84" s="350">
        <f t="shared" si="111"/>
        <v>0</v>
      </c>
      <c r="V84" s="350">
        <f t="shared" si="111"/>
        <v>0</v>
      </c>
      <c r="W84" s="350">
        <f t="shared" si="111"/>
        <v>0</v>
      </c>
      <c r="X84" s="350">
        <f t="shared" si="111"/>
        <v>0</v>
      </c>
      <c r="Y84" s="350">
        <f t="shared" si="111"/>
        <v>0</v>
      </c>
      <c r="Z84" s="350">
        <f t="shared" si="111"/>
        <v>0</v>
      </c>
      <c r="AA84" s="350">
        <f t="shared" si="111"/>
        <v>0</v>
      </c>
      <c r="AB84" s="353">
        <f t="shared" si="69"/>
        <v>0</v>
      </c>
      <c r="AC84" s="350">
        <f t="shared" si="69"/>
        <v>0</v>
      </c>
      <c r="AD84" s="350">
        <f t="shared" ref="AD84:AK84" si="114">(AD80)+(AD83)</f>
        <v>0</v>
      </c>
      <c r="AE84" s="350">
        <f t="shared" si="114"/>
        <v>0</v>
      </c>
      <c r="AF84" s="350">
        <f t="shared" si="114"/>
        <v>0</v>
      </c>
      <c r="AG84" s="350">
        <f t="shared" si="114"/>
        <v>0</v>
      </c>
      <c r="AH84" s="350">
        <f t="shared" si="114"/>
        <v>0</v>
      </c>
      <c r="AI84" s="350">
        <f t="shared" si="114"/>
        <v>0</v>
      </c>
      <c r="AJ84" s="350">
        <f t="shared" si="114"/>
        <v>0</v>
      </c>
      <c r="AK84" s="350">
        <f t="shared" si="114"/>
        <v>0</v>
      </c>
      <c r="AL84" s="353">
        <f t="shared" si="70"/>
        <v>0</v>
      </c>
      <c r="AM84" s="350">
        <f t="shared" si="70"/>
        <v>0</v>
      </c>
      <c r="AN84" s="353">
        <f t="shared" ref="AN84:AU84" si="115">(AN80)+(AN83)</f>
        <v>0</v>
      </c>
      <c r="AO84" s="350">
        <f t="shared" si="115"/>
        <v>0</v>
      </c>
      <c r="AP84" s="353">
        <f t="shared" si="115"/>
        <v>0</v>
      </c>
      <c r="AQ84" s="350">
        <f t="shared" si="115"/>
        <v>0</v>
      </c>
      <c r="AR84" s="353">
        <f t="shared" si="115"/>
        <v>0</v>
      </c>
      <c r="AS84" s="350">
        <f t="shared" si="115"/>
        <v>0</v>
      </c>
      <c r="AT84" s="353">
        <f t="shared" si="115"/>
        <v>0</v>
      </c>
      <c r="AU84" s="350">
        <f t="shared" si="115"/>
        <v>0</v>
      </c>
      <c r="AV84" s="353">
        <f t="shared" si="71"/>
        <v>0</v>
      </c>
      <c r="AW84" s="350">
        <f t="shared" si="71"/>
        <v>0</v>
      </c>
      <c r="AX84" s="350">
        <f>(AX80)+(AX83)</f>
        <v>0</v>
      </c>
      <c r="AY84" s="350">
        <f>(AY80)+(AY83)</f>
        <v>0</v>
      </c>
      <c r="AZ84" s="350">
        <f>(AZ80)+(AZ83)</f>
        <v>0</v>
      </c>
      <c r="BA84" s="350">
        <f>(BA80)+(BA83)</f>
        <v>0</v>
      </c>
      <c r="BB84" s="350">
        <f t="shared" si="72"/>
        <v>0</v>
      </c>
      <c r="BC84" s="350">
        <f t="shared" si="72"/>
        <v>0</v>
      </c>
      <c r="BD84" s="350">
        <f>(BD80)+(BD83)</f>
        <v>0</v>
      </c>
      <c r="BE84" s="350">
        <f>(BE80)+(BE83)</f>
        <v>0</v>
      </c>
      <c r="BF84" s="350">
        <f>(BF80)+(BF83)</f>
        <v>0</v>
      </c>
      <c r="BG84" s="350">
        <f>(BG80)+(BG83)</f>
        <v>0</v>
      </c>
      <c r="BH84" s="350">
        <f t="shared" si="73"/>
        <v>0</v>
      </c>
      <c r="BI84" s="350">
        <f t="shared" si="73"/>
        <v>0</v>
      </c>
      <c r="BJ84" s="350">
        <f>(BJ80)+(BJ83)</f>
        <v>0</v>
      </c>
      <c r="BK84" s="350">
        <f>(BK80)+(BK83)</f>
        <v>0</v>
      </c>
      <c r="BL84" s="350">
        <f t="shared" si="74"/>
        <v>108.93</v>
      </c>
      <c r="BM84" s="350">
        <f t="shared" si="75"/>
        <v>0</v>
      </c>
    </row>
    <row r="85" spans="1:65" x14ac:dyDescent="0.25">
      <c r="A85" s="347" t="s">
        <v>79</v>
      </c>
      <c r="B85" s="352"/>
      <c r="C85" s="348"/>
      <c r="D85" s="348"/>
      <c r="E85" s="348"/>
      <c r="F85" s="352"/>
      <c r="G85" s="348"/>
      <c r="H85" s="348"/>
      <c r="I85" s="348"/>
      <c r="J85" s="352"/>
      <c r="K85" s="348"/>
      <c r="L85" s="352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54">
        <f t="shared" si="69"/>
        <v>0</v>
      </c>
      <c r="AC85" s="349">
        <f t="shared" si="69"/>
        <v>0</v>
      </c>
      <c r="AD85" s="348"/>
      <c r="AE85" s="348"/>
      <c r="AF85" s="348"/>
      <c r="AG85" s="348"/>
      <c r="AH85" s="348"/>
      <c r="AI85" s="348"/>
      <c r="AJ85" s="348"/>
      <c r="AK85" s="348"/>
      <c r="AL85" s="354">
        <f t="shared" si="70"/>
        <v>0</v>
      </c>
      <c r="AM85" s="349">
        <f t="shared" si="70"/>
        <v>0</v>
      </c>
      <c r="AN85" s="352"/>
      <c r="AO85" s="348"/>
      <c r="AP85" s="352"/>
      <c r="AQ85" s="348"/>
      <c r="AR85" s="352"/>
      <c r="AS85" s="348"/>
      <c r="AT85" s="352"/>
      <c r="AU85" s="348"/>
      <c r="AV85" s="354">
        <f t="shared" si="71"/>
        <v>0</v>
      </c>
      <c r="AW85" s="349">
        <f t="shared" si="71"/>
        <v>0</v>
      </c>
      <c r="AX85" s="348"/>
      <c r="AY85" s="348"/>
      <c r="AZ85" s="348"/>
      <c r="BA85" s="348"/>
      <c r="BB85" s="349">
        <f t="shared" si="72"/>
        <v>0</v>
      </c>
      <c r="BC85" s="349">
        <f t="shared" si="72"/>
        <v>0</v>
      </c>
      <c r="BD85" s="348"/>
      <c r="BE85" s="348"/>
      <c r="BF85" s="348"/>
      <c r="BG85" s="348"/>
      <c r="BH85" s="349">
        <f t="shared" si="73"/>
        <v>0</v>
      </c>
      <c r="BI85" s="349">
        <f t="shared" si="73"/>
        <v>0</v>
      </c>
      <c r="BJ85" s="348"/>
      <c r="BK85" s="348"/>
      <c r="BL85" s="349">
        <f t="shared" si="74"/>
        <v>0</v>
      </c>
      <c r="BM85" s="349">
        <f t="shared" si="75"/>
        <v>0</v>
      </c>
    </row>
    <row r="86" spans="1:65" x14ac:dyDescent="0.25">
      <c r="A86" s="347" t="s">
        <v>123</v>
      </c>
      <c r="B86" s="352"/>
      <c r="C86" s="349">
        <f>30000</f>
        <v>30000</v>
      </c>
      <c r="D86" s="348"/>
      <c r="E86" s="348"/>
      <c r="F86" s="352"/>
      <c r="G86" s="348"/>
      <c r="H86" s="349">
        <f>36750</f>
        <v>36750</v>
      </c>
      <c r="I86" s="348"/>
      <c r="J86" s="352"/>
      <c r="K86" s="348"/>
      <c r="L86" s="352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  <c r="AA86" s="348"/>
      <c r="AB86" s="354">
        <f t="shared" si="69"/>
        <v>0</v>
      </c>
      <c r="AC86" s="349">
        <f t="shared" si="69"/>
        <v>0</v>
      </c>
      <c r="AD86" s="348"/>
      <c r="AE86" s="348"/>
      <c r="AF86" s="348"/>
      <c r="AG86" s="348"/>
      <c r="AH86" s="348"/>
      <c r="AI86" s="348"/>
      <c r="AJ86" s="348"/>
      <c r="AK86" s="348"/>
      <c r="AL86" s="354">
        <f t="shared" si="70"/>
        <v>0</v>
      </c>
      <c r="AM86" s="349">
        <f t="shared" si="70"/>
        <v>0</v>
      </c>
      <c r="AN86" s="352"/>
      <c r="AO86" s="348"/>
      <c r="AP86" s="352"/>
      <c r="AQ86" s="348"/>
      <c r="AR86" s="352"/>
      <c r="AS86" s="348"/>
      <c r="AT86" s="352"/>
      <c r="AU86" s="348"/>
      <c r="AV86" s="354">
        <f t="shared" si="71"/>
        <v>0</v>
      </c>
      <c r="AW86" s="349">
        <f t="shared" si="71"/>
        <v>0</v>
      </c>
      <c r="AX86" s="348"/>
      <c r="AY86" s="348"/>
      <c r="AZ86" s="348"/>
      <c r="BA86" s="348"/>
      <c r="BB86" s="349">
        <f t="shared" si="72"/>
        <v>0</v>
      </c>
      <c r="BC86" s="349">
        <f t="shared" si="72"/>
        <v>0</v>
      </c>
      <c r="BD86" s="348"/>
      <c r="BE86" s="348"/>
      <c r="BF86" s="348"/>
      <c r="BG86" s="348"/>
      <c r="BH86" s="349">
        <f t="shared" si="73"/>
        <v>0</v>
      </c>
      <c r="BI86" s="349">
        <f t="shared" si="73"/>
        <v>0</v>
      </c>
      <c r="BJ86" s="348"/>
      <c r="BK86" s="348"/>
      <c r="BL86" s="349">
        <f t="shared" si="74"/>
        <v>36750</v>
      </c>
      <c r="BM86" s="349">
        <f t="shared" si="75"/>
        <v>30000</v>
      </c>
    </row>
    <row r="87" spans="1:65" x14ac:dyDescent="0.25">
      <c r="A87" s="347" t="s">
        <v>81</v>
      </c>
      <c r="B87" s="352"/>
      <c r="C87" s="349">
        <f>30000</f>
        <v>30000</v>
      </c>
      <c r="D87" s="348"/>
      <c r="E87" s="348"/>
      <c r="F87" s="352"/>
      <c r="G87" s="348"/>
      <c r="H87" s="349">
        <f>30204.37</f>
        <v>30204.37</v>
      </c>
      <c r="I87" s="348"/>
      <c r="J87" s="352"/>
      <c r="K87" s="348"/>
      <c r="L87" s="352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8"/>
      <c r="AB87" s="354">
        <f t="shared" si="69"/>
        <v>0</v>
      </c>
      <c r="AC87" s="349">
        <f t="shared" si="69"/>
        <v>0</v>
      </c>
      <c r="AD87" s="348"/>
      <c r="AE87" s="348"/>
      <c r="AF87" s="348"/>
      <c r="AG87" s="348"/>
      <c r="AH87" s="348"/>
      <c r="AI87" s="348"/>
      <c r="AJ87" s="348"/>
      <c r="AK87" s="348"/>
      <c r="AL87" s="354">
        <f t="shared" si="70"/>
        <v>0</v>
      </c>
      <c r="AM87" s="349">
        <f t="shared" si="70"/>
        <v>0</v>
      </c>
      <c r="AN87" s="352"/>
      <c r="AO87" s="348"/>
      <c r="AP87" s="352"/>
      <c r="AQ87" s="348"/>
      <c r="AR87" s="352"/>
      <c r="AS87" s="348"/>
      <c r="AT87" s="352"/>
      <c r="AU87" s="348"/>
      <c r="AV87" s="354">
        <f t="shared" si="71"/>
        <v>0</v>
      </c>
      <c r="AW87" s="349">
        <f t="shared" si="71"/>
        <v>0</v>
      </c>
      <c r="AX87" s="348"/>
      <c r="AY87" s="348"/>
      <c r="AZ87" s="348"/>
      <c r="BA87" s="348"/>
      <c r="BB87" s="349">
        <f t="shared" si="72"/>
        <v>0</v>
      </c>
      <c r="BC87" s="349">
        <f t="shared" si="72"/>
        <v>0</v>
      </c>
      <c r="BD87" s="348"/>
      <c r="BE87" s="348"/>
      <c r="BF87" s="348"/>
      <c r="BG87" s="348"/>
      <c r="BH87" s="349">
        <f t="shared" si="73"/>
        <v>0</v>
      </c>
      <c r="BI87" s="349">
        <f t="shared" si="73"/>
        <v>0</v>
      </c>
      <c r="BJ87" s="348"/>
      <c r="BK87" s="348"/>
      <c r="BL87" s="349">
        <f t="shared" si="74"/>
        <v>30204.37</v>
      </c>
      <c r="BM87" s="349">
        <f t="shared" si="75"/>
        <v>30000</v>
      </c>
    </row>
    <row r="88" spans="1:65" x14ac:dyDescent="0.25">
      <c r="A88" s="347" t="s">
        <v>82</v>
      </c>
      <c r="B88" s="352"/>
      <c r="C88" s="349">
        <f>30000</f>
        <v>30000</v>
      </c>
      <c r="D88" s="348"/>
      <c r="E88" s="348"/>
      <c r="F88" s="352"/>
      <c r="G88" s="348"/>
      <c r="H88" s="349">
        <f>46960</f>
        <v>46960</v>
      </c>
      <c r="I88" s="348"/>
      <c r="J88" s="352"/>
      <c r="K88" s="348"/>
      <c r="L88" s="352"/>
      <c r="M88" s="348"/>
      <c r="N88" s="348"/>
      <c r="O88" s="348"/>
      <c r="P88" s="348"/>
      <c r="Q88" s="348"/>
      <c r="R88" s="348"/>
      <c r="S88" s="348"/>
      <c r="T88" s="348"/>
      <c r="U88" s="348"/>
      <c r="V88" s="349">
        <f>500</f>
        <v>500</v>
      </c>
      <c r="W88" s="348"/>
      <c r="X88" s="348"/>
      <c r="Y88" s="348"/>
      <c r="Z88" s="348"/>
      <c r="AA88" s="348"/>
      <c r="AB88" s="354">
        <f t="shared" si="69"/>
        <v>500</v>
      </c>
      <c r="AC88" s="349">
        <f t="shared" si="69"/>
        <v>0</v>
      </c>
      <c r="AD88" s="348"/>
      <c r="AE88" s="348"/>
      <c r="AF88" s="348"/>
      <c r="AG88" s="348"/>
      <c r="AH88" s="348"/>
      <c r="AI88" s="348"/>
      <c r="AJ88" s="348"/>
      <c r="AK88" s="348"/>
      <c r="AL88" s="354">
        <f t="shared" si="70"/>
        <v>0</v>
      </c>
      <c r="AM88" s="349">
        <f t="shared" si="70"/>
        <v>0</v>
      </c>
      <c r="AN88" s="352"/>
      <c r="AO88" s="348"/>
      <c r="AP88" s="352"/>
      <c r="AQ88" s="348"/>
      <c r="AR88" s="352"/>
      <c r="AS88" s="348"/>
      <c r="AT88" s="352"/>
      <c r="AU88" s="348"/>
      <c r="AV88" s="354">
        <f t="shared" si="71"/>
        <v>0</v>
      </c>
      <c r="AW88" s="349">
        <f t="shared" si="71"/>
        <v>0</v>
      </c>
      <c r="AX88" s="348"/>
      <c r="AY88" s="348"/>
      <c r="AZ88" s="348"/>
      <c r="BA88" s="348"/>
      <c r="BB88" s="349">
        <f t="shared" si="72"/>
        <v>0</v>
      </c>
      <c r="BC88" s="349">
        <f t="shared" si="72"/>
        <v>0</v>
      </c>
      <c r="BD88" s="348"/>
      <c r="BE88" s="348"/>
      <c r="BF88" s="348"/>
      <c r="BG88" s="348"/>
      <c r="BH88" s="349">
        <f t="shared" si="73"/>
        <v>0</v>
      </c>
      <c r="BI88" s="349">
        <f t="shared" si="73"/>
        <v>0</v>
      </c>
      <c r="BJ88" s="348"/>
      <c r="BK88" s="348"/>
      <c r="BL88" s="349">
        <f t="shared" si="74"/>
        <v>47460</v>
      </c>
      <c r="BM88" s="349">
        <f t="shared" si="75"/>
        <v>30000</v>
      </c>
    </row>
    <row r="89" spans="1:65" x14ac:dyDescent="0.25">
      <c r="A89" s="347" t="s">
        <v>732</v>
      </c>
      <c r="B89" s="352"/>
      <c r="C89" s="348"/>
      <c r="D89" s="348"/>
      <c r="E89" s="348"/>
      <c r="F89" s="352"/>
      <c r="G89" s="348"/>
      <c r="H89" s="349">
        <f>200</f>
        <v>200</v>
      </c>
      <c r="I89" s="348"/>
      <c r="J89" s="352"/>
      <c r="K89" s="348"/>
      <c r="L89" s="352"/>
      <c r="M89" s="348"/>
      <c r="N89" s="348"/>
      <c r="O89" s="348"/>
      <c r="P89" s="348"/>
      <c r="Q89" s="348"/>
      <c r="R89" s="348"/>
      <c r="S89" s="348"/>
      <c r="T89" s="348"/>
      <c r="U89" s="348"/>
      <c r="V89" s="348"/>
      <c r="W89" s="348"/>
      <c r="X89" s="348"/>
      <c r="Y89" s="348"/>
      <c r="Z89" s="348"/>
      <c r="AA89" s="348"/>
      <c r="AB89" s="354">
        <f t="shared" si="69"/>
        <v>0</v>
      </c>
      <c r="AC89" s="349">
        <f t="shared" si="69"/>
        <v>0</v>
      </c>
      <c r="AD89" s="348"/>
      <c r="AE89" s="348"/>
      <c r="AF89" s="348"/>
      <c r="AG89" s="348"/>
      <c r="AH89" s="348"/>
      <c r="AI89" s="348"/>
      <c r="AJ89" s="348"/>
      <c r="AK89" s="348"/>
      <c r="AL89" s="354">
        <f t="shared" si="70"/>
        <v>0</v>
      </c>
      <c r="AM89" s="349">
        <f t="shared" si="70"/>
        <v>0</v>
      </c>
      <c r="AN89" s="352"/>
      <c r="AO89" s="348"/>
      <c r="AP89" s="352"/>
      <c r="AQ89" s="348"/>
      <c r="AR89" s="352"/>
      <c r="AS89" s="348"/>
      <c r="AT89" s="352"/>
      <c r="AU89" s="348"/>
      <c r="AV89" s="354">
        <f t="shared" si="71"/>
        <v>0</v>
      </c>
      <c r="AW89" s="349">
        <f t="shared" si="71"/>
        <v>0</v>
      </c>
      <c r="AX89" s="348"/>
      <c r="AY89" s="348"/>
      <c r="AZ89" s="348"/>
      <c r="BA89" s="348"/>
      <c r="BB89" s="349">
        <f t="shared" si="72"/>
        <v>0</v>
      </c>
      <c r="BC89" s="349">
        <f t="shared" si="72"/>
        <v>0</v>
      </c>
      <c r="BD89" s="348"/>
      <c r="BE89" s="348"/>
      <c r="BF89" s="348"/>
      <c r="BG89" s="348"/>
      <c r="BH89" s="349">
        <f t="shared" si="73"/>
        <v>0</v>
      </c>
      <c r="BI89" s="349">
        <f t="shared" si="73"/>
        <v>0</v>
      </c>
      <c r="BJ89" s="348"/>
      <c r="BK89" s="348"/>
      <c r="BL89" s="349">
        <f t="shared" si="74"/>
        <v>200</v>
      </c>
      <c r="BM89" s="349">
        <f t="shared" si="75"/>
        <v>0</v>
      </c>
    </row>
    <row r="90" spans="1:65" x14ac:dyDescent="0.25">
      <c r="A90" s="347" t="s">
        <v>125</v>
      </c>
      <c r="B90" s="353">
        <f t="shared" ref="B90:AA90" si="116">(B88)+(B89)</f>
        <v>0</v>
      </c>
      <c r="C90" s="350">
        <f t="shared" si="116"/>
        <v>30000</v>
      </c>
      <c r="D90" s="350">
        <f t="shared" si="116"/>
        <v>0</v>
      </c>
      <c r="E90" s="350">
        <f t="shared" si="116"/>
        <v>0</v>
      </c>
      <c r="F90" s="353">
        <f t="shared" si="116"/>
        <v>0</v>
      </c>
      <c r="G90" s="350">
        <f t="shared" si="116"/>
        <v>0</v>
      </c>
      <c r="H90" s="350">
        <f t="shared" si="116"/>
        <v>47160</v>
      </c>
      <c r="I90" s="350">
        <f t="shared" si="116"/>
        <v>0</v>
      </c>
      <c r="J90" s="353">
        <f t="shared" si="116"/>
        <v>0</v>
      </c>
      <c r="K90" s="350">
        <f t="shared" si="116"/>
        <v>0</v>
      </c>
      <c r="L90" s="353">
        <f t="shared" ref="L90" si="117">(L88)+(L89)</f>
        <v>0</v>
      </c>
      <c r="M90" s="350">
        <f t="shared" ref="M90" si="118">(M88)+(M89)</f>
        <v>0</v>
      </c>
      <c r="N90" s="350">
        <f t="shared" si="116"/>
        <v>0</v>
      </c>
      <c r="O90" s="350">
        <f t="shared" si="116"/>
        <v>0</v>
      </c>
      <c r="P90" s="350">
        <f t="shared" si="116"/>
        <v>0</v>
      </c>
      <c r="Q90" s="350">
        <f t="shared" si="116"/>
        <v>0</v>
      </c>
      <c r="R90" s="350">
        <f t="shared" si="116"/>
        <v>0</v>
      </c>
      <c r="S90" s="350">
        <f t="shared" si="116"/>
        <v>0</v>
      </c>
      <c r="T90" s="350">
        <f t="shared" si="116"/>
        <v>0</v>
      </c>
      <c r="U90" s="350">
        <f t="shared" si="116"/>
        <v>0</v>
      </c>
      <c r="V90" s="350">
        <f t="shared" si="116"/>
        <v>500</v>
      </c>
      <c r="W90" s="350">
        <f t="shared" si="116"/>
        <v>0</v>
      </c>
      <c r="X90" s="350">
        <f t="shared" si="116"/>
        <v>0</v>
      </c>
      <c r="Y90" s="350">
        <f t="shared" si="116"/>
        <v>0</v>
      </c>
      <c r="Z90" s="350">
        <f t="shared" si="116"/>
        <v>0</v>
      </c>
      <c r="AA90" s="350">
        <f t="shared" si="116"/>
        <v>0</v>
      </c>
      <c r="AB90" s="353">
        <f t="shared" si="69"/>
        <v>500</v>
      </c>
      <c r="AC90" s="350">
        <f t="shared" si="69"/>
        <v>0</v>
      </c>
      <c r="AD90" s="350">
        <f t="shared" ref="AD90:AK90" si="119">(AD88)+(AD89)</f>
        <v>0</v>
      </c>
      <c r="AE90" s="350">
        <f t="shared" si="119"/>
        <v>0</v>
      </c>
      <c r="AF90" s="350">
        <f t="shared" si="119"/>
        <v>0</v>
      </c>
      <c r="AG90" s="350">
        <f t="shared" si="119"/>
        <v>0</v>
      </c>
      <c r="AH90" s="350">
        <f t="shared" si="119"/>
        <v>0</v>
      </c>
      <c r="AI90" s="350">
        <f t="shared" si="119"/>
        <v>0</v>
      </c>
      <c r="AJ90" s="350">
        <f t="shared" si="119"/>
        <v>0</v>
      </c>
      <c r="AK90" s="350">
        <f t="shared" si="119"/>
        <v>0</v>
      </c>
      <c r="AL90" s="353">
        <f t="shared" si="70"/>
        <v>0</v>
      </c>
      <c r="AM90" s="350">
        <f t="shared" si="70"/>
        <v>0</v>
      </c>
      <c r="AN90" s="353">
        <f t="shared" ref="AN90:AU90" si="120">(AN88)+(AN89)</f>
        <v>0</v>
      </c>
      <c r="AO90" s="350">
        <f t="shared" si="120"/>
        <v>0</v>
      </c>
      <c r="AP90" s="353">
        <f t="shared" si="120"/>
        <v>0</v>
      </c>
      <c r="AQ90" s="350">
        <f t="shared" si="120"/>
        <v>0</v>
      </c>
      <c r="AR90" s="353">
        <f t="shared" si="120"/>
        <v>0</v>
      </c>
      <c r="AS90" s="350">
        <f t="shared" si="120"/>
        <v>0</v>
      </c>
      <c r="AT90" s="353">
        <f t="shared" si="120"/>
        <v>0</v>
      </c>
      <c r="AU90" s="350">
        <f t="shared" si="120"/>
        <v>0</v>
      </c>
      <c r="AV90" s="353">
        <f t="shared" si="71"/>
        <v>0</v>
      </c>
      <c r="AW90" s="350">
        <f t="shared" si="71"/>
        <v>0</v>
      </c>
      <c r="AX90" s="350">
        <f>(AX88)+(AX89)</f>
        <v>0</v>
      </c>
      <c r="AY90" s="350">
        <f>(AY88)+(AY89)</f>
        <v>0</v>
      </c>
      <c r="AZ90" s="350">
        <f>(AZ88)+(AZ89)</f>
        <v>0</v>
      </c>
      <c r="BA90" s="350">
        <f>(BA88)+(BA89)</f>
        <v>0</v>
      </c>
      <c r="BB90" s="350">
        <f t="shared" si="72"/>
        <v>0</v>
      </c>
      <c r="BC90" s="350">
        <f t="shared" si="72"/>
        <v>0</v>
      </c>
      <c r="BD90" s="350">
        <f>(BD88)+(BD89)</f>
        <v>0</v>
      </c>
      <c r="BE90" s="350">
        <f>(BE88)+(BE89)</f>
        <v>0</v>
      </c>
      <c r="BF90" s="350">
        <f>(BF88)+(BF89)</f>
        <v>0</v>
      </c>
      <c r="BG90" s="350">
        <f>(BG88)+(BG89)</f>
        <v>0</v>
      </c>
      <c r="BH90" s="350">
        <f t="shared" si="73"/>
        <v>0</v>
      </c>
      <c r="BI90" s="350">
        <f t="shared" si="73"/>
        <v>0</v>
      </c>
      <c r="BJ90" s="350">
        <f>(BJ88)+(BJ89)</f>
        <v>0</v>
      </c>
      <c r="BK90" s="350">
        <f>(BK88)+(BK89)</f>
        <v>0</v>
      </c>
      <c r="BL90" s="350">
        <f t="shared" si="74"/>
        <v>47660</v>
      </c>
      <c r="BM90" s="350">
        <f t="shared" si="75"/>
        <v>30000</v>
      </c>
    </row>
    <row r="91" spans="1:65" x14ac:dyDescent="0.25">
      <c r="A91" s="347" t="s">
        <v>83</v>
      </c>
      <c r="B91" s="353">
        <f t="shared" ref="B91:AA91" si="121">(((B85)+(B86))+(B87))+(B90)</f>
        <v>0</v>
      </c>
      <c r="C91" s="350">
        <f t="shared" si="121"/>
        <v>90000</v>
      </c>
      <c r="D91" s="350">
        <f t="shared" si="121"/>
        <v>0</v>
      </c>
      <c r="E91" s="350">
        <f t="shared" si="121"/>
        <v>0</v>
      </c>
      <c r="F91" s="353">
        <f t="shared" si="121"/>
        <v>0</v>
      </c>
      <c r="G91" s="350">
        <f t="shared" si="121"/>
        <v>0</v>
      </c>
      <c r="H91" s="350">
        <f t="shared" si="121"/>
        <v>114114.37</v>
      </c>
      <c r="I91" s="350">
        <f t="shared" si="121"/>
        <v>0</v>
      </c>
      <c r="J91" s="353">
        <f t="shared" si="121"/>
        <v>0</v>
      </c>
      <c r="K91" s="350">
        <f t="shared" si="121"/>
        <v>0</v>
      </c>
      <c r="L91" s="353">
        <f t="shared" ref="L91" si="122">(((L85)+(L86))+(L87))+(L90)</f>
        <v>0</v>
      </c>
      <c r="M91" s="350">
        <f t="shared" ref="M91" si="123">(((M85)+(M86))+(M87))+(M90)</f>
        <v>0</v>
      </c>
      <c r="N91" s="350">
        <f t="shared" si="121"/>
        <v>0</v>
      </c>
      <c r="O91" s="350">
        <f t="shared" si="121"/>
        <v>0</v>
      </c>
      <c r="P91" s="350">
        <f t="shared" si="121"/>
        <v>0</v>
      </c>
      <c r="Q91" s="350">
        <f t="shared" si="121"/>
        <v>0</v>
      </c>
      <c r="R91" s="350">
        <f t="shared" si="121"/>
        <v>0</v>
      </c>
      <c r="S91" s="350">
        <f t="shared" si="121"/>
        <v>0</v>
      </c>
      <c r="T91" s="350">
        <f t="shared" si="121"/>
        <v>0</v>
      </c>
      <c r="U91" s="350">
        <f t="shared" si="121"/>
        <v>0</v>
      </c>
      <c r="V91" s="350">
        <f t="shared" si="121"/>
        <v>500</v>
      </c>
      <c r="W91" s="350">
        <f t="shared" si="121"/>
        <v>0</v>
      </c>
      <c r="X91" s="350">
        <f t="shared" si="121"/>
        <v>0</v>
      </c>
      <c r="Y91" s="350">
        <f t="shared" si="121"/>
        <v>0</v>
      </c>
      <c r="Z91" s="350">
        <f t="shared" si="121"/>
        <v>0</v>
      </c>
      <c r="AA91" s="350">
        <f t="shared" si="121"/>
        <v>0</v>
      </c>
      <c r="AB91" s="353">
        <f t="shared" si="69"/>
        <v>500</v>
      </c>
      <c r="AC91" s="350">
        <f t="shared" si="69"/>
        <v>0</v>
      </c>
      <c r="AD91" s="350">
        <f t="shared" ref="AD91:AK91" si="124">(((AD85)+(AD86))+(AD87))+(AD90)</f>
        <v>0</v>
      </c>
      <c r="AE91" s="350">
        <f t="shared" si="124"/>
        <v>0</v>
      </c>
      <c r="AF91" s="350">
        <f t="shared" si="124"/>
        <v>0</v>
      </c>
      <c r="AG91" s="350">
        <f t="shared" si="124"/>
        <v>0</v>
      </c>
      <c r="AH91" s="350">
        <f t="shared" si="124"/>
        <v>0</v>
      </c>
      <c r="AI91" s="350">
        <f t="shared" si="124"/>
        <v>0</v>
      </c>
      <c r="AJ91" s="350">
        <f t="shared" si="124"/>
        <v>0</v>
      </c>
      <c r="AK91" s="350">
        <f t="shared" si="124"/>
        <v>0</v>
      </c>
      <c r="AL91" s="353">
        <f t="shared" si="70"/>
        <v>0</v>
      </c>
      <c r="AM91" s="350">
        <f t="shared" si="70"/>
        <v>0</v>
      </c>
      <c r="AN91" s="353">
        <f t="shared" ref="AN91:AU91" si="125">(((AN85)+(AN86))+(AN87))+(AN90)</f>
        <v>0</v>
      </c>
      <c r="AO91" s="350">
        <f t="shared" si="125"/>
        <v>0</v>
      </c>
      <c r="AP91" s="353">
        <f t="shared" si="125"/>
        <v>0</v>
      </c>
      <c r="AQ91" s="350">
        <f t="shared" si="125"/>
        <v>0</v>
      </c>
      <c r="AR91" s="353">
        <f t="shared" si="125"/>
        <v>0</v>
      </c>
      <c r="AS91" s="350">
        <f t="shared" si="125"/>
        <v>0</v>
      </c>
      <c r="AT91" s="353">
        <f t="shared" si="125"/>
        <v>0</v>
      </c>
      <c r="AU91" s="350">
        <f t="shared" si="125"/>
        <v>0</v>
      </c>
      <c r="AV91" s="353">
        <f t="shared" si="71"/>
        <v>0</v>
      </c>
      <c r="AW91" s="350">
        <f t="shared" si="71"/>
        <v>0</v>
      </c>
      <c r="AX91" s="350">
        <f>(((AX85)+(AX86))+(AX87))+(AX90)</f>
        <v>0</v>
      </c>
      <c r="AY91" s="350">
        <f>(((AY85)+(AY86))+(AY87))+(AY90)</f>
        <v>0</v>
      </c>
      <c r="AZ91" s="350">
        <f>(((AZ85)+(AZ86))+(AZ87))+(AZ90)</f>
        <v>0</v>
      </c>
      <c r="BA91" s="350">
        <f>(((BA85)+(BA86))+(BA87))+(BA90)</f>
        <v>0</v>
      </c>
      <c r="BB91" s="350">
        <f t="shared" si="72"/>
        <v>0</v>
      </c>
      <c r="BC91" s="350">
        <f t="shared" si="72"/>
        <v>0</v>
      </c>
      <c r="BD91" s="350">
        <f>(((BD85)+(BD86))+(BD87))+(BD90)</f>
        <v>0</v>
      </c>
      <c r="BE91" s="350">
        <f>(((BE85)+(BE86))+(BE87))+(BE90)</f>
        <v>0</v>
      </c>
      <c r="BF91" s="350">
        <f>(((BF85)+(BF86))+(BF87))+(BF90)</f>
        <v>0</v>
      </c>
      <c r="BG91" s="350">
        <f>(((BG85)+(BG86))+(BG87))+(BG90)</f>
        <v>0</v>
      </c>
      <c r="BH91" s="350">
        <f t="shared" si="73"/>
        <v>0</v>
      </c>
      <c r="BI91" s="350">
        <f t="shared" si="73"/>
        <v>0</v>
      </c>
      <c r="BJ91" s="350">
        <f>(((BJ85)+(BJ86))+(BJ87))+(BJ90)</f>
        <v>0</v>
      </c>
      <c r="BK91" s="350">
        <f>(((BK85)+(BK86))+(BK87))+(BK90)</f>
        <v>0</v>
      </c>
      <c r="BL91" s="350">
        <f t="shared" si="74"/>
        <v>114614.37</v>
      </c>
      <c r="BM91" s="350">
        <f t="shared" si="75"/>
        <v>90000</v>
      </c>
    </row>
    <row r="92" spans="1:65" x14ac:dyDescent="0.25">
      <c r="A92" s="347" t="s">
        <v>84</v>
      </c>
      <c r="B92" s="354">
        <f>124.75</f>
        <v>124.75</v>
      </c>
      <c r="C92" s="348"/>
      <c r="D92" s="348"/>
      <c r="E92" s="349">
        <f>1100</f>
        <v>1100</v>
      </c>
      <c r="F92" s="354">
        <f>69.57</f>
        <v>69.569999999999993</v>
      </c>
      <c r="G92" s="348"/>
      <c r="H92" s="348"/>
      <c r="I92" s="348"/>
      <c r="J92" s="354">
        <f>79.8</f>
        <v>79.8</v>
      </c>
      <c r="K92" s="348"/>
      <c r="L92" s="354">
        <f>79.8</f>
        <v>79.8</v>
      </c>
      <c r="M92" s="348"/>
      <c r="N92" s="349">
        <f>454.24</f>
        <v>454.24</v>
      </c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8"/>
      <c r="AA92" s="348"/>
      <c r="AB92" s="354">
        <f t="shared" si="69"/>
        <v>454.24</v>
      </c>
      <c r="AC92" s="349">
        <f t="shared" si="69"/>
        <v>0</v>
      </c>
      <c r="AD92" s="349">
        <f>186.93</f>
        <v>186.93</v>
      </c>
      <c r="AE92" s="348"/>
      <c r="AF92" s="348"/>
      <c r="AG92" s="348"/>
      <c r="AH92" s="349">
        <f>0</f>
        <v>0</v>
      </c>
      <c r="AI92" s="348"/>
      <c r="AJ92" s="348"/>
      <c r="AK92" s="348"/>
      <c r="AL92" s="354">
        <f t="shared" si="70"/>
        <v>186.93</v>
      </c>
      <c r="AM92" s="349">
        <f t="shared" si="70"/>
        <v>0</v>
      </c>
      <c r="AN92" s="354">
        <f>2235.6</f>
        <v>2235.6</v>
      </c>
      <c r="AO92" s="348"/>
      <c r="AP92" s="354">
        <f>10.6</f>
        <v>10.6</v>
      </c>
      <c r="AQ92" s="348"/>
      <c r="AR92" s="354">
        <f>715.7</f>
        <v>715.7</v>
      </c>
      <c r="AS92" s="348"/>
      <c r="AT92" s="354">
        <f>204.82</f>
        <v>204.82</v>
      </c>
      <c r="AU92" s="348"/>
      <c r="AV92" s="354">
        <f t="shared" si="71"/>
        <v>920.52</v>
      </c>
      <c r="AW92" s="349">
        <f t="shared" si="71"/>
        <v>0</v>
      </c>
      <c r="AX92" s="349">
        <f>2.84</f>
        <v>2.84</v>
      </c>
      <c r="AY92" s="348"/>
      <c r="AZ92" s="349">
        <f>224.41</f>
        <v>224.41</v>
      </c>
      <c r="BA92" s="348"/>
      <c r="BB92" s="349">
        <f t="shared" si="72"/>
        <v>227.25</v>
      </c>
      <c r="BC92" s="349">
        <f t="shared" si="72"/>
        <v>0</v>
      </c>
      <c r="BD92" s="348"/>
      <c r="BE92" s="348"/>
      <c r="BF92" s="348"/>
      <c r="BG92" s="348"/>
      <c r="BH92" s="349">
        <f t="shared" si="73"/>
        <v>0</v>
      </c>
      <c r="BI92" s="349">
        <f t="shared" si="73"/>
        <v>0</v>
      </c>
      <c r="BJ92" s="348"/>
      <c r="BK92" s="348"/>
      <c r="BL92" s="349">
        <f t="shared" si="74"/>
        <v>4309.26</v>
      </c>
      <c r="BM92" s="349">
        <f t="shared" si="75"/>
        <v>1100</v>
      </c>
    </row>
    <row r="93" spans="1:65" x14ac:dyDescent="0.25">
      <c r="A93" s="347" t="s">
        <v>85</v>
      </c>
      <c r="B93" s="354">
        <f>3262.43</f>
        <v>3262.43</v>
      </c>
      <c r="C93" s="349">
        <f>300</f>
        <v>300</v>
      </c>
      <c r="D93" s="348"/>
      <c r="E93" s="348"/>
      <c r="F93" s="354">
        <f>13.49</f>
        <v>13.49</v>
      </c>
      <c r="G93" s="348"/>
      <c r="H93" s="348"/>
      <c r="I93" s="348"/>
      <c r="J93" s="354">
        <f>76.74</f>
        <v>76.739999999999995</v>
      </c>
      <c r="K93" s="348"/>
      <c r="L93" s="354">
        <f>76.74</f>
        <v>76.739999999999995</v>
      </c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8"/>
      <c r="Z93" s="348"/>
      <c r="AA93" s="348"/>
      <c r="AB93" s="354">
        <f t="shared" si="69"/>
        <v>0</v>
      </c>
      <c r="AC93" s="349">
        <f t="shared" si="69"/>
        <v>0</v>
      </c>
      <c r="AD93" s="349">
        <f>1.5</f>
        <v>1.5</v>
      </c>
      <c r="AE93" s="348"/>
      <c r="AF93" s="348"/>
      <c r="AG93" s="348"/>
      <c r="AH93" s="349">
        <f>1.5</f>
        <v>1.5</v>
      </c>
      <c r="AI93" s="348"/>
      <c r="AJ93" s="348"/>
      <c r="AK93" s="348"/>
      <c r="AL93" s="354">
        <f t="shared" si="70"/>
        <v>3</v>
      </c>
      <c r="AM93" s="349">
        <f t="shared" si="70"/>
        <v>0</v>
      </c>
      <c r="AN93" s="354">
        <f>3</f>
        <v>3</v>
      </c>
      <c r="AO93" s="348"/>
      <c r="AP93" s="354">
        <f>189.95</f>
        <v>189.95</v>
      </c>
      <c r="AQ93" s="348"/>
      <c r="AR93" s="352"/>
      <c r="AS93" s="348"/>
      <c r="AT93" s="352"/>
      <c r="AU93" s="348"/>
      <c r="AV93" s="354">
        <f t="shared" si="71"/>
        <v>0</v>
      </c>
      <c r="AW93" s="349">
        <f t="shared" si="71"/>
        <v>0</v>
      </c>
      <c r="AX93" s="348"/>
      <c r="AY93" s="348"/>
      <c r="AZ93" s="348"/>
      <c r="BA93" s="348"/>
      <c r="BB93" s="349">
        <f t="shared" si="72"/>
        <v>0</v>
      </c>
      <c r="BC93" s="349">
        <f t="shared" si="72"/>
        <v>0</v>
      </c>
      <c r="BD93" s="348"/>
      <c r="BE93" s="348"/>
      <c r="BF93" s="348"/>
      <c r="BG93" s="348"/>
      <c r="BH93" s="349">
        <f t="shared" si="73"/>
        <v>0</v>
      </c>
      <c r="BI93" s="349">
        <f t="shared" si="73"/>
        <v>0</v>
      </c>
      <c r="BJ93" s="348"/>
      <c r="BK93" s="348"/>
      <c r="BL93" s="349">
        <f t="shared" si="74"/>
        <v>3548.6099999999992</v>
      </c>
      <c r="BM93" s="349">
        <f t="shared" si="75"/>
        <v>300</v>
      </c>
    </row>
    <row r="94" spans="1:65" x14ac:dyDescent="0.25">
      <c r="A94" s="347" t="s">
        <v>86</v>
      </c>
      <c r="B94" s="352"/>
      <c r="C94" s="348"/>
      <c r="D94" s="348"/>
      <c r="E94" s="348"/>
      <c r="F94" s="354">
        <f>105.68</f>
        <v>105.68</v>
      </c>
      <c r="G94" s="348"/>
      <c r="H94" s="348"/>
      <c r="I94" s="348"/>
      <c r="J94" s="352"/>
      <c r="K94" s="348"/>
      <c r="L94" s="352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54">
        <f t="shared" si="69"/>
        <v>0</v>
      </c>
      <c r="AC94" s="349">
        <f t="shared" si="69"/>
        <v>0</v>
      </c>
      <c r="AD94" s="348"/>
      <c r="AE94" s="348"/>
      <c r="AF94" s="348"/>
      <c r="AG94" s="348"/>
      <c r="AH94" s="348"/>
      <c r="AI94" s="348"/>
      <c r="AJ94" s="348"/>
      <c r="AK94" s="348"/>
      <c r="AL94" s="354">
        <f t="shared" si="70"/>
        <v>0</v>
      </c>
      <c r="AM94" s="349">
        <f t="shared" si="70"/>
        <v>0</v>
      </c>
      <c r="AN94" s="354">
        <f>196.27</f>
        <v>196.27</v>
      </c>
      <c r="AO94" s="349">
        <f>1250.86</f>
        <v>1250.8599999999999</v>
      </c>
      <c r="AP94" s="352"/>
      <c r="AQ94" s="348"/>
      <c r="AR94" s="352"/>
      <c r="AS94" s="348"/>
      <c r="AT94" s="352"/>
      <c r="AU94" s="348"/>
      <c r="AV94" s="354">
        <f t="shared" si="71"/>
        <v>0</v>
      </c>
      <c r="AW94" s="349">
        <f t="shared" si="71"/>
        <v>0</v>
      </c>
      <c r="AX94" s="349">
        <f>185.65</f>
        <v>185.65</v>
      </c>
      <c r="AY94" s="348"/>
      <c r="AZ94" s="349">
        <f>157.55</f>
        <v>157.55000000000001</v>
      </c>
      <c r="BA94" s="348"/>
      <c r="BB94" s="349">
        <f t="shared" si="72"/>
        <v>343.20000000000005</v>
      </c>
      <c r="BC94" s="349">
        <f t="shared" si="72"/>
        <v>0</v>
      </c>
      <c r="BD94" s="348"/>
      <c r="BE94" s="348"/>
      <c r="BF94" s="348"/>
      <c r="BG94" s="348"/>
      <c r="BH94" s="349">
        <f t="shared" si="73"/>
        <v>0</v>
      </c>
      <c r="BI94" s="349">
        <f t="shared" si="73"/>
        <v>0</v>
      </c>
      <c r="BJ94" s="348"/>
      <c r="BK94" s="348"/>
      <c r="BL94" s="349">
        <f t="shared" si="74"/>
        <v>645.15000000000009</v>
      </c>
      <c r="BM94" s="349">
        <f t="shared" si="75"/>
        <v>1250.8599999999999</v>
      </c>
    </row>
    <row r="95" spans="1:65" x14ac:dyDescent="0.25">
      <c r="A95" s="347" t="s">
        <v>87</v>
      </c>
      <c r="B95" s="354">
        <f>2</f>
        <v>2</v>
      </c>
      <c r="C95" s="348"/>
      <c r="D95" s="348"/>
      <c r="E95" s="348"/>
      <c r="F95" s="352"/>
      <c r="G95" s="348"/>
      <c r="H95" s="348"/>
      <c r="I95" s="348"/>
      <c r="J95" s="352"/>
      <c r="K95" s="348"/>
      <c r="L95" s="352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54">
        <f t="shared" si="69"/>
        <v>0</v>
      </c>
      <c r="AC95" s="349">
        <f t="shared" si="69"/>
        <v>0</v>
      </c>
      <c r="AD95" s="348"/>
      <c r="AE95" s="348"/>
      <c r="AF95" s="348"/>
      <c r="AG95" s="348"/>
      <c r="AH95" s="348"/>
      <c r="AI95" s="348"/>
      <c r="AJ95" s="348"/>
      <c r="AK95" s="348"/>
      <c r="AL95" s="354">
        <f t="shared" si="70"/>
        <v>0</v>
      </c>
      <c r="AM95" s="349">
        <f t="shared" si="70"/>
        <v>0</v>
      </c>
      <c r="AN95" s="352"/>
      <c r="AO95" s="348"/>
      <c r="AP95" s="352"/>
      <c r="AQ95" s="348"/>
      <c r="AR95" s="352"/>
      <c r="AS95" s="348"/>
      <c r="AT95" s="352"/>
      <c r="AU95" s="348"/>
      <c r="AV95" s="354">
        <f t="shared" si="71"/>
        <v>0</v>
      </c>
      <c r="AW95" s="349">
        <f t="shared" si="71"/>
        <v>0</v>
      </c>
      <c r="AX95" s="348"/>
      <c r="AY95" s="348"/>
      <c r="AZ95" s="348"/>
      <c r="BA95" s="348"/>
      <c r="BB95" s="349">
        <f t="shared" si="72"/>
        <v>0</v>
      </c>
      <c r="BC95" s="349">
        <f t="shared" si="72"/>
        <v>0</v>
      </c>
      <c r="BD95" s="348"/>
      <c r="BE95" s="348"/>
      <c r="BF95" s="348"/>
      <c r="BG95" s="348"/>
      <c r="BH95" s="349">
        <f t="shared" si="73"/>
        <v>0</v>
      </c>
      <c r="BI95" s="349">
        <f t="shared" si="73"/>
        <v>0</v>
      </c>
      <c r="BJ95" s="348"/>
      <c r="BK95" s="348"/>
      <c r="BL95" s="349">
        <f t="shared" si="74"/>
        <v>2</v>
      </c>
      <c r="BM95" s="349">
        <f t="shared" si="75"/>
        <v>0</v>
      </c>
    </row>
    <row r="96" spans="1:65" x14ac:dyDescent="0.25">
      <c r="A96" s="347" t="s">
        <v>88</v>
      </c>
      <c r="B96" s="354">
        <f>454.61</f>
        <v>454.61</v>
      </c>
      <c r="C96" s="348"/>
      <c r="D96" s="349">
        <f>517.78</f>
        <v>517.78</v>
      </c>
      <c r="E96" s="349">
        <f>1160</f>
        <v>1160</v>
      </c>
      <c r="F96" s="352"/>
      <c r="G96" s="349">
        <f>136.8</f>
        <v>136.80000000000001</v>
      </c>
      <c r="H96" s="348"/>
      <c r="I96" s="348"/>
      <c r="J96" s="352"/>
      <c r="K96" s="348"/>
      <c r="L96" s="352"/>
      <c r="M96" s="348"/>
      <c r="N96" s="349">
        <f>130</f>
        <v>130</v>
      </c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8"/>
      <c r="Z96" s="348"/>
      <c r="AA96" s="348"/>
      <c r="AB96" s="354">
        <f t="shared" ref="AB96:AC127" si="126">((((((N96)+(P96))+(R96))+(T96))+(V96))+(X96))+(Z96)</f>
        <v>130</v>
      </c>
      <c r="AC96" s="349">
        <f t="shared" si="126"/>
        <v>0</v>
      </c>
      <c r="AD96" s="348"/>
      <c r="AE96" s="348"/>
      <c r="AF96" s="348"/>
      <c r="AG96" s="348"/>
      <c r="AH96" s="348"/>
      <c r="AI96" s="348"/>
      <c r="AJ96" s="348"/>
      <c r="AK96" s="348"/>
      <c r="AL96" s="354">
        <f t="shared" ref="AL96:AM127" si="127">(((AD96)+(AF96))+(AH96))+(AJ96)</f>
        <v>0</v>
      </c>
      <c r="AM96" s="349">
        <f t="shared" si="127"/>
        <v>0</v>
      </c>
      <c r="AN96" s="352"/>
      <c r="AO96" s="348"/>
      <c r="AP96" s="354">
        <f>6.04</f>
        <v>6.04</v>
      </c>
      <c r="AQ96" s="348"/>
      <c r="AR96" s="352"/>
      <c r="AS96" s="348"/>
      <c r="AT96" s="352"/>
      <c r="AU96" s="348"/>
      <c r="AV96" s="354">
        <f t="shared" ref="AV96:AW127" si="128">(AR96)+(AT96)</f>
        <v>0</v>
      </c>
      <c r="AW96" s="349">
        <f t="shared" si="128"/>
        <v>0</v>
      </c>
      <c r="AX96" s="348"/>
      <c r="AY96" s="348"/>
      <c r="AZ96" s="349">
        <f>35.75</f>
        <v>35.75</v>
      </c>
      <c r="BA96" s="349">
        <f>792</f>
        <v>792</v>
      </c>
      <c r="BB96" s="349">
        <f t="shared" ref="BB96:BC127" si="129">(AX96)+(AZ96)</f>
        <v>35.75</v>
      </c>
      <c r="BC96" s="349">
        <f t="shared" si="129"/>
        <v>792</v>
      </c>
      <c r="BD96" s="349">
        <f>10</f>
        <v>10</v>
      </c>
      <c r="BE96" s="348"/>
      <c r="BF96" s="348"/>
      <c r="BG96" s="348"/>
      <c r="BH96" s="349">
        <f t="shared" ref="BH96:BI127" si="130">(BD96)+(BF96)</f>
        <v>10</v>
      </c>
      <c r="BI96" s="349">
        <f t="shared" si="130"/>
        <v>0</v>
      </c>
      <c r="BJ96" s="348"/>
      <c r="BK96" s="348"/>
      <c r="BL96" s="349">
        <f t="shared" ref="BL96:BL127" si="131">((((((((((((B96)+(D96))+(F96))+(H96))+(J96))+(AB96))+(AL96))+(AN96))+(AP96))+(AV96))+(BB96))+(BH96))+(BJ96)</f>
        <v>1154.1799999999998</v>
      </c>
      <c r="BM96" s="349">
        <f t="shared" ref="BM96:BM127" si="132">((((((((((((C96)+(E96))+(G96))+(I96))+(K96))+(AC96))+(AM96))+(AO96))+(AQ96))+(AW96))+(BC96))+(BI96))+(BK96)</f>
        <v>2088.8000000000002</v>
      </c>
    </row>
    <row r="97" spans="1:65" x14ac:dyDescent="0.25">
      <c r="A97" s="347" t="s">
        <v>89</v>
      </c>
      <c r="B97" s="354">
        <f>1426.14</f>
        <v>1426.14</v>
      </c>
      <c r="C97" s="348"/>
      <c r="D97" s="349">
        <f>2811.06</f>
        <v>2811.06</v>
      </c>
      <c r="E97" s="348"/>
      <c r="F97" s="354">
        <f>4100.4</f>
        <v>4100.3999999999996</v>
      </c>
      <c r="G97" s="349">
        <f>6196</f>
        <v>6196</v>
      </c>
      <c r="H97" s="349">
        <f>100</f>
        <v>100</v>
      </c>
      <c r="I97" s="348"/>
      <c r="J97" s="354">
        <f>891.24</f>
        <v>891.24</v>
      </c>
      <c r="K97" s="348"/>
      <c r="L97" s="354">
        <f>891.24</f>
        <v>891.24</v>
      </c>
      <c r="M97" s="348"/>
      <c r="N97" s="349">
        <f>9472.19</f>
        <v>9472.19</v>
      </c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54">
        <f t="shared" si="126"/>
        <v>9472.19</v>
      </c>
      <c r="AC97" s="349">
        <f t="shared" si="126"/>
        <v>0</v>
      </c>
      <c r="AD97" s="349">
        <f>622.81</f>
        <v>622.80999999999995</v>
      </c>
      <c r="AE97" s="349">
        <f>1852.5</f>
        <v>1852.5</v>
      </c>
      <c r="AF97" s="348"/>
      <c r="AG97" s="348"/>
      <c r="AH97" s="349">
        <f>19.98</f>
        <v>19.98</v>
      </c>
      <c r="AI97" s="348"/>
      <c r="AJ97" s="348"/>
      <c r="AK97" s="348"/>
      <c r="AL97" s="354">
        <f t="shared" si="127"/>
        <v>642.79</v>
      </c>
      <c r="AM97" s="349">
        <f t="shared" si="127"/>
        <v>1852.5</v>
      </c>
      <c r="AN97" s="354">
        <f>6336.77</f>
        <v>6336.77</v>
      </c>
      <c r="AO97" s="348"/>
      <c r="AP97" s="354">
        <f>3915.37</f>
        <v>3915.37</v>
      </c>
      <c r="AQ97" s="348"/>
      <c r="AR97" s="354">
        <f>544.76</f>
        <v>544.76</v>
      </c>
      <c r="AS97" s="348"/>
      <c r="AT97" s="352"/>
      <c r="AU97" s="348"/>
      <c r="AV97" s="354">
        <f t="shared" si="128"/>
        <v>544.76</v>
      </c>
      <c r="AW97" s="349">
        <f t="shared" si="128"/>
        <v>0</v>
      </c>
      <c r="AX97" s="349">
        <f>92.04</f>
        <v>92.04</v>
      </c>
      <c r="AY97" s="348"/>
      <c r="AZ97" s="349">
        <f>223.72</f>
        <v>223.72</v>
      </c>
      <c r="BA97" s="348"/>
      <c r="BB97" s="349">
        <f t="shared" si="129"/>
        <v>315.76</v>
      </c>
      <c r="BC97" s="349">
        <f t="shared" si="129"/>
        <v>0</v>
      </c>
      <c r="BD97" s="349">
        <f>35.55</f>
        <v>35.549999999999997</v>
      </c>
      <c r="BE97" s="348"/>
      <c r="BF97" s="348"/>
      <c r="BG97" s="348"/>
      <c r="BH97" s="349">
        <f t="shared" si="130"/>
        <v>35.549999999999997</v>
      </c>
      <c r="BI97" s="349">
        <f t="shared" si="130"/>
        <v>0</v>
      </c>
      <c r="BJ97" s="348"/>
      <c r="BK97" s="348"/>
      <c r="BL97" s="349">
        <f t="shared" si="131"/>
        <v>30592.029999999995</v>
      </c>
      <c r="BM97" s="349">
        <f t="shared" si="132"/>
        <v>8048.5</v>
      </c>
    </row>
    <row r="98" spans="1:65" x14ac:dyDescent="0.25">
      <c r="A98" s="347" t="s">
        <v>90</v>
      </c>
      <c r="B98" s="353">
        <f t="shared" ref="B98:AA98" si="133">(((B94)+(B95))+(B96))+(B97)</f>
        <v>1882.75</v>
      </c>
      <c r="C98" s="350">
        <f t="shared" si="133"/>
        <v>0</v>
      </c>
      <c r="D98" s="350">
        <f t="shared" si="133"/>
        <v>3328.84</v>
      </c>
      <c r="E98" s="350">
        <f t="shared" si="133"/>
        <v>1160</v>
      </c>
      <c r="F98" s="353">
        <f t="shared" si="133"/>
        <v>4206.08</v>
      </c>
      <c r="G98" s="350">
        <f t="shared" si="133"/>
        <v>6332.8</v>
      </c>
      <c r="H98" s="350">
        <f t="shared" si="133"/>
        <v>100</v>
      </c>
      <c r="I98" s="350">
        <f t="shared" si="133"/>
        <v>0</v>
      </c>
      <c r="J98" s="353">
        <f t="shared" si="133"/>
        <v>891.24</v>
      </c>
      <c r="K98" s="350">
        <f t="shared" si="133"/>
        <v>0</v>
      </c>
      <c r="L98" s="353">
        <f t="shared" ref="L98" si="134">(((L94)+(L95))+(L96))+(L97)</f>
        <v>891.24</v>
      </c>
      <c r="M98" s="350">
        <f t="shared" ref="M98" si="135">(((M94)+(M95))+(M96))+(M97)</f>
        <v>0</v>
      </c>
      <c r="N98" s="350">
        <f t="shared" si="133"/>
        <v>9602.19</v>
      </c>
      <c r="O98" s="350">
        <f t="shared" si="133"/>
        <v>0</v>
      </c>
      <c r="P98" s="350">
        <f t="shared" si="133"/>
        <v>0</v>
      </c>
      <c r="Q98" s="350">
        <f t="shared" si="133"/>
        <v>0</v>
      </c>
      <c r="R98" s="350">
        <f t="shared" si="133"/>
        <v>0</v>
      </c>
      <c r="S98" s="350">
        <f t="shared" si="133"/>
        <v>0</v>
      </c>
      <c r="T98" s="350">
        <f t="shared" si="133"/>
        <v>0</v>
      </c>
      <c r="U98" s="350">
        <f t="shared" si="133"/>
        <v>0</v>
      </c>
      <c r="V98" s="350">
        <f t="shared" si="133"/>
        <v>0</v>
      </c>
      <c r="W98" s="350">
        <f t="shared" si="133"/>
        <v>0</v>
      </c>
      <c r="X98" s="350">
        <f t="shared" si="133"/>
        <v>0</v>
      </c>
      <c r="Y98" s="350">
        <f t="shared" si="133"/>
        <v>0</v>
      </c>
      <c r="Z98" s="350">
        <f t="shared" si="133"/>
        <v>0</v>
      </c>
      <c r="AA98" s="350">
        <f t="shared" si="133"/>
        <v>0</v>
      </c>
      <c r="AB98" s="353">
        <f t="shared" si="126"/>
        <v>9602.19</v>
      </c>
      <c r="AC98" s="350">
        <f t="shared" si="126"/>
        <v>0</v>
      </c>
      <c r="AD98" s="350">
        <f t="shared" ref="AD98:AK98" si="136">(((AD94)+(AD95))+(AD96))+(AD97)</f>
        <v>622.80999999999995</v>
      </c>
      <c r="AE98" s="350">
        <f t="shared" si="136"/>
        <v>1852.5</v>
      </c>
      <c r="AF98" s="350">
        <f t="shared" si="136"/>
        <v>0</v>
      </c>
      <c r="AG98" s="350">
        <f t="shared" si="136"/>
        <v>0</v>
      </c>
      <c r="AH98" s="350">
        <f t="shared" si="136"/>
        <v>19.98</v>
      </c>
      <c r="AI98" s="350">
        <f t="shared" si="136"/>
        <v>0</v>
      </c>
      <c r="AJ98" s="350">
        <f t="shared" si="136"/>
        <v>0</v>
      </c>
      <c r="AK98" s="350">
        <f t="shared" si="136"/>
        <v>0</v>
      </c>
      <c r="AL98" s="353">
        <f t="shared" si="127"/>
        <v>642.79</v>
      </c>
      <c r="AM98" s="350">
        <f t="shared" si="127"/>
        <v>1852.5</v>
      </c>
      <c r="AN98" s="353">
        <f t="shared" ref="AN98:AU98" si="137">(((AN94)+(AN95))+(AN96))+(AN97)</f>
        <v>6533.0400000000009</v>
      </c>
      <c r="AO98" s="350">
        <f t="shared" si="137"/>
        <v>1250.8599999999999</v>
      </c>
      <c r="AP98" s="353">
        <f t="shared" si="137"/>
        <v>3921.41</v>
      </c>
      <c r="AQ98" s="350">
        <f t="shared" si="137"/>
        <v>0</v>
      </c>
      <c r="AR98" s="353">
        <f t="shared" si="137"/>
        <v>544.76</v>
      </c>
      <c r="AS98" s="350">
        <f t="shared" si="137"/>
        <v>0</v>
      </c>
      <c r="AT98" s="353">
        <f t="shared" si="137"/>
        <v>0</v>
      </c>
      <c r="AU98" s="350">
        <f t="shared" si="137"/>
        <v>0</v>
      </c>
      <c r="AV98" s="353">
        <f t="shared" si="128"/>
        <v>544.76</v>
      </c>
      <c r="AW98" s="350">
        <f t="shared" si="128"/>
        <v>0</v>
      </c>
      <c r="AX98" s="350">
        <f>(((AX94)+(AX95))+(AX96))+(AX97)</f>
        <v>277.69</v>
      </c>
      <c r="AY98" s="350">
        <f>(((AY94)+(AY95))+(AY96))+(AY97)</f>
        <v>0</v>
      </c>
      <c r="AZ98" s="350">
        <f>(((AZ94)+(AZ95))+(AZ96))+(AZ97)</f>
        <v>417.02</v>
      </c>
      <c r="BA98" s="350">
        <f>(((BA94)+(BA95))+(BA96))+(BA97)</f>
        <v>792</v>
      </c>
      <c r="BB98" s="350">
        <f t="shared" si="129"/>
        <v>694.71</v>
      </c>
      <c r="BC98" s="350">
        <f t="shared" si="129"/>
        <v>792</v>
      </c>
      <c r="BD98" s="350">
        <f>(((BD94)+(BD95))+(BD96))+(BD97)</f>
        <v>45.55</v>
      </c>
      <c r="BE98" s="350">
        <f>(((BE94)+(BE95))+(BE96))+(BE97)</f>
        <v>0</v>
      </c>
      <c r="BF98" s="350">
        <f>(((BF94)+(BF95))+(BF96))+(BF97)</f>
        <v>0</v>
      </c>
      <c r="BG98" s="350">
        <f>(((BG94)+(BG95))+(BG96))+(BG97)</f>
        <v>0</v>
      </c>
      <c r="BH98" s="350">
        <f t="shared" si="130"/>
        <v>45.55</v>
      </c>
      <c r="BI98" s="350">
        <f t="shared" si="130"/>
        <v>0</v>
      </c>
      <c r="BJ98" s="350">
        <f>(((BJ94)+(BJ95))+(BJ96))+(BJ97)</f>
        <v>0</v>
      </c>
      <c r="BK98" s="350">
        <f>(((BK94)+(BK95))+(BK96))+(BK97)</f>
        <v>0</v>
      </c>
      <c r="BL98" s="350">
        <f t="shared" si="131"/>
        <v>32393.359999999997</v>
      </c>
      <c r="BM98" s="350">
        <f t="shared" si="132"/>
        <v>11388.16</v>
      </c>
    </row>
    <row r="99" spans="1:65" x14ac:dyDescent="0.25">
      <c r="A99" s="347" t="s">
        <v>91</v>
      </c>
      <c r="B99" s="354">
        <f>105.74</f>
        <v>105.74</v>
      </c>
      <c r="C99" s="348"/>
      <c r="D99" s="349">
        <f>6000</f>
        <v>6000</v>
      </c>
      <c r="E99" s="349">
        <f>5000</f>
        <v>5000</v>
      </c>
      <c r="F99" s="354">
        <f>1630.56</f>
        <v>1630.56</v>
      </c>
      <c r="G99" s="349">
        <f>750</f>
        <v>750</v>
      </c>
      <c r="H99" s="348"/>
      <c r="I99" s="348"/>
      <c r="J99" s="354">
        <f>950.48</f>
        <v>950.48</v>
      </c>
      <c r="K99" s="348"/>
      <c r="L99" s="354">
        <f>950.48</f>
        <v>950.48</v>
      </c>
      <c r="M99" s="348"/>
      <c r="N99" s="349">
        <f>590.49</f>
        <v>590.49</v>
      </c>
      <c r="O99" s="348"/>
      <c r="P99" s="348"/>
      <c r="Q99" s="348"/>
      <c r="R99" s="348"/>
      <c r="S99" s="348"/>
      <c r="T99" s="348"/>
      <c r="U99" s="348"/>
      <c r="V99" s="349">
        <f>5797.5</f>
        <v>5797.5</v>
      </c>
      <c r="W99" s="348"/>
      <c r="X99" s="348"/>
      <c r="Y99" s="348"/>
      <c r="Z99" s="349">
        <f>9250</f>
        <v>9250</v>
      </c>
      <c r="AA99" s="348"/>
      <c r="AB99" s="354">
        <f t="shared" si="126"/>
        <v>15637.99</v>
      </c>
      <c r="AC99" s="349">
        <f t="shared" si="126"/>
        <v>0</v>
      </c>
      <c r="AD99" s="349">
        <f>2044.06</f>
        <v>2044.06</v>
      </c>
      <c r="AE99" s="349">
        <f>14555.6</f>
        <v>14555.6</v>
      </c>
      <c r="AF99" s="348"/>
      <c r="AG99" s="348"/>
      <c r="AH99" s="348"/>
      <c r="AI99" s="348"/>
      <c r="AJ99" s="348"/>
      <c r="AK99" s="348"/>
      <c r="AL99" s="354">
        <f t="shared" si="127"/>
        <v>2044.06</v>
      </c>
      <c r="AM99" s="349">
        <f t="shared" si="127"/>
        <v>14555.6</v>
      </c>
      <c r="AN99" s="354">
        <f>30.84</f>
        <v>30.84</v>
      </c>
      <c r="AO99" s="348"/>
      <c r="AP99" s="354">
        <f>780.84</f>
        <v>780.84</v>
      </c>
      <c r="AQ99" s="348"/>
      <c r="AR99" s="354">
        <f>30.84</f>
        <v>30.84</v>
      </c>
      <c r="AS99" s="348"/>
      <c r="AT99" s="352"/>
      <c r="AU99" s="348"/>
      <c r="AV99" s="354">
        <f t="shared" si="128"/>
        <v>30.84</v>
      </c>
      <c r="AW99" s="349">
        <f t="shared" si="128"/>
        <v>0</v>
      </c>
      <c r="AX99" s="349">
        <f>13.22</f>
        <v>13.22</v>
      </c>
      <c r="AY99" s="348"/>
      <c r="AZ99" s="348"/>
      <c r="BA99" s="349">
        <f>6287.5</f>
        <v>6287.5</v>
      </c>
      <c r="BB99" s="349">
        <f t="shared" si="129"/>
        <v>13.22</v>
      </c>
      <c r="BC99" s="349">
        <f t="shared" si="129"/>
        <v>6287.5</v>
      </c>
      <c r="BD99" s="348"/>
      <c r="BE99" s="348"/>
      <c r="BF99" s="348"/>
      <c r="BG99" s="348"/>
      <c r="BH99" s="349">
        <f t="shared" si="130"/>
        <v>0</v>
      </c>
      <c r="BI99" s="349">
        <f t="shared" si="130"/>
        <v>0</v>
      </c>
      <c r="BJ99" s="348"/>
      <c r="BK99" s="348"/>
      <c r="BL99" s="349">
        <f t="shared" si="131"/>
        <v>27224.57</v>
      </c>
      <c r="BM99" s="349">
        <f t="shared" si="132"/>
        <v>26593.1</v>
      </c>
    </row>
    <row r="100" spans="1:65" x14ac:dyDescent="0.25">
      <c r="A100" s="347" t="s">
        <v>92</v>
      </c>
      <c r="B100" s="354">
        <f>8.75</f>
        <v>8.75</v>
      </c>
      <c r="C100" s="348"/>
      <c r="D100" s="349">
        <f>620.96</f>
        <v>620.96</v>
      </c>
      <c r="E100" s="348"/>
      <c r="F100" s="354">
        <f>105</f>
        <v>105</v>
      </c>
      <c r="G100" s="348"/>
      <c r="H100" s="348"/>
      <c r="I100" s="348"/>
      <c r="J100" s="352"/>
      <c r="K100" s="348"/>
      <c r="L100" s="352"/>
      <c r="M100" s="348"/>
      <c r="N100" s="349">
        <f>29.75</f>
        <v>29.75</v>
      </c>
      <c r="O100" s="348"/>
      <c r="P100" s="348"/>
      <c r="Q100" s="348"/>
      <c r="R100" s="348"/>
      <c r="S100" s="348"/>
      <c r="T100" s="348"/>
      <c r="U100" s="348"/>
      <c r="V100" s="348"/>
      <c r="W100" s="348"/>
      <c r="X100" s="348"/>
      <c r="Y100" s="348"/>
      <c r="Z100" s="348"/>
      <c r="AA100" s="348"/>
      <c r="AB100" s="354">
        <f t="shared" si="126"/>
        <v>29.75</v>
      </c>
      <c r="AC100" s="349">
        <f t="shared" si="126"/>
        <v>0</v>
      </c>
      <c r="AD100" s="349">
        <f>17.5</f>
        <v>17.5</v>
      </c>
      <c r="AE100" s="349">
        <f>396</f>
        <v>396</v>
      </c>
      <c r="AF100" s="348"/>
      <c r="AG100" s="348"/>
      <c r="AH100" s="348"/>
      <c r="AI100" s="348"/>
      <c r="AJ100" s="348"/>
      <c r="AK100" s="348"/>
      <c r="AL100" s="354">
        <f t="shared" si="127"/>
        <v>17.5</v>
      </c>
      <c r="AM100" s="349">
        <f t="shared" si="127"/>
        <v>396</v>
      </c>
      <c r="AN100" s="354">
        <f>7</f>
        <v>7</v>
      </c>
      <c r="AO100" s="348"/>
      <c r="AP100" s="354">
        <f>7</f>
        <v>7</v>
      </c>
      <c r="AQ100" s="348"/>
      <c r="AR100" s="352"/>
      <c r="AS100" s="348"/>
      <c r="AT100" s="354">
        <f>43</f>
        <v>43</v>
      </c>
      <c r="AU100" s="348"/>
      <c r="AV100" s="354">
        <f t="shared" si="128"/>
        <v>43</v>
      </c>
      <c r="AW100" s="349">
        <f t="shared" si="128"/>
        <v>0</v>
      </c>
      <c r="AX100" s="348"/>
      <c r="AY100" s="348"/>
      <c r="AZ100" s="349">
        <f>17785.28</f>
        <v>17785.28</v>
      </c>
      <c r="BA100" s="348"/>
      <c r="BB100" s="349">
        <f t="shared" si="129"/>
        <v>17785.28</v>
      </c>
      <c r="BC100" s="349">
        <f t="shared" si="129"/>
        <v>0</v>
      </c>
      <c r="BD100" s="349">
        <f>557.73</f>
        <v>557.73</v>
      </c>
      <c r="BE100" s="348"/>
      <c r="BF100" s="348"/>
      <c r="BG100" s="348"/>
      <c r="BH100" s="349">
        <f t="shared" si="130"/>
        <v>557.73</v>
      </c>
      <c r="BI100" s="349">
        <f t="shared" si="130"/>
        <v>0</v>
      </c>
      <c r="BJ100" s="348"/>
      <c r="BK100" s="348"/>
      <c r="BL100" s="349">
        <f t="shared" si="131"/>
        <v>19181.969999999998</v>
      </c>
      <c r="BM100" s="349">
        <f t="shared" si="132"/>
        <v>396</v>
      </c>
    </row>
    <row r="101" spans="1:65" x14ac:dyDescent="0.25">
      <c r="A101" s="347" t="s">
        <v>93</v>
      </c>
      <c r="B101" s="352"/>
      <c r="C101" s="348"/>
      <c r="D101" s="348"/>
      <c r="E101" s="348"/>
      <c r="F101" s="352"/>
      <c r="G101" s="348"/>
      <c r="H101" s="348"/>
      <c r="I101" s="348"/>
      <c r="J101" s="352"/>
      <c r="K101" s="348"/>
      <c r="L101" s="352"/>
      <c r="M101" s="348"/>
      <c r="N101" s="348"/>
      <c r="O101" s="348"/>
      <c r="P101" s="348"/>
      <c r="Q101" s="348"/>
      <c r="R101" s="348"/>
      <c r="S101" s="348"/>
      <c r="T101" s="348"/>
      <c r="U101" s="348"/>
      <c r="V101" s="349">
        <f>5000</f>
        <v>5000</v>
      </c>
      <c r="W101" s="348"/>
      <c r="X101" s="348"/>
      <c r="Y101" s="348"/>
      <c r="Z101" s="348"/>
      <c r="AA101" s="348"/>
      <c r="AB101" s="354">
        <f t="shared" si="126"/>
        <v>5000</v>
      </c>
      <c r="AC101" s="349">
        <f t="shared" si="126"/>
        <v>0</v>
      </c>
      <c r="AD101" s="348"/>
      <c r="AE101" s="348"/>
      <c r="AF101" s="348"/>
      <c r="AG101" s="348"/>
      <c r="AH101" s="349">
        <f>-1.97</f>
        <v>-1.97</v>
      </c>
      <c r="AI101" s="348"/>
      <c r="AJ101" s="348"/>
      <c r="AK101" s="348"/>
      <c r="AL101" s="354">
        <f t="shared" si="127"/>
        <v>-1.97</v>
      </c>
      <c r="AM101" s="349">
        <f t="shared" si="127"/>
        <v>0</v>
      </c>
      <c r="AN101" s="352"/>
      <c r="AO101" s="348"/>
      <c r="AP101" s="352"/>
      <c r="AQ101" s="348"/>
      <c r="AR101" s="352"/>
      <c r="AS101" s="348"/>
      <c r="AT101" s="352"/>
      <c r="AU101" s="348"/>
      <c r="AV101" s="354">
        <f t="shared" si="128"/>
        <v>0</v>
      </c>
      <c r="AW101" s="349">
        <f t="shared" si="128"/>
        <v>0</v>
      </c>
      <c r="AX101" s="348"/>
      <c r="AY101" s="348"/>
      <c r="AZ101" s="348"/>
      <c r="BA101" s="348"/>
      <c r="BB101" s="349">
        <f t="shared" si="129"/>
        <v>0</v>
      </c>
      <c r="BC101" s="349">
        <f t="shared" si="129"/>
        <v>0</v>
      </c>
      <c r="BD101" s="348"/>
      <c r="BE101" s="348"/>
      <c r="BF101" s="348"/>
      <c r="BG101" s="348"/>
      <c r="BH101" s="349">
        <f t="shared" si="130"/>
        <v>0</v>
      </c>
      <c r="BI101" s="349">
        <f t="shared" si="130"/>
        <v>0</v>
      </c>
      <c r="BJ101" s="348"/>
      <c r="BK101" s="348"/>
      <c r="BL101" s="349">
        <f t="shared" si="131"/>
        <v>4998.03</v>
      </c>
      <c r="BM101" s="349">
        <f t="shared" si="132"/>
        <v>0</v>
      </c>
    </row>
    <row r="102" spans="1:65" x14ac:dyDescent="0.25">
      <c r="A102" s="347" t="s">
        <v>94</v>
      </c>
      <c r="B102" s="352"/>
      <c r="C102" s="349">
        <f>500</f>
        <v>500</v>
      </c>
      <c r="D102" s="348"/>
      <c r="E102" s="348"/>
      <c r="F102" s="352"/>
      <c r="G102" s="348"/>
      <c r="H102" s="348"/>
      <c r="I102" s="348"/>
      <c r="J102" s="352"/>
      <c r="K102" s="348"/>
      <c r="L102" s="352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54">
        <f t="shared" si="126"/>
        <v>0</v>
      </c>
      <c r="AC102" s="349">
        <f t="shared" si="126"/>
        <v>0</v>
      </c>
      <c r="AD102" s="348"/>
      <c r="AE102" s="348"/>
      <c r="AF102" s="348"/>
      <c r="AG102" s="348"/>
      <c r="AH102" s="348"/>
      <c r="AI102" s="348"/>
      <c r="AJ102" s="348"/>
      <c r="AK102" s="348"/>
      <c r="AL102" s="354">
        <f t="shared" si="127"/>
        <v>0</v>
      </c>
      <c r="AM102" s="349">
        <f t="shared" si="127"/>
        <v>0</v>
      </c>
      <c r="AN102" s="352"/>
      <c r="AO102" s="348"/>
      <c r="AP102" s="352"/>
      <c r="AQ102" s="348"/>
      <c r="AR102" s="352"/>
      <c r="AS102" s="348"/>
      <c r="AT102" s="352"/>
      <c r="AU102" s="348"/>
      <c r="AV102" s="354">
        <f t="shared" si="128"/>
        <v>0</v>
      </c>
      <c r="AW102" s="349">
        <f t="shared" si="128"/>
        <v>0</v>
      </c>
      <c r="AX102" s="349">
        <f>1100</f>
        <v>1100</v>
      </c>
      <c r="AY102" s="348"/>
      <c r="AZ102" s="348"/>
      <c r="BA102" s="348"/>
      <c r="BB102" s="349">
        <f t="shared" si="129"/>
        <v>1100</v>
      </c>
      <c r="BC102" s="349">
        <f t="shared" si="129"/>
        <v>0</v>
      </c>
      <c r="BD102" s="349">
        <f>590.3</f>
        <v>590.29999999999995</v>
      </c>
      <c r="BE102" s="348"/>
      <c r="BF102" s="348"/>
      <c r="BG102" s="348"/>
      <c r="BH102" s="349">
        <f t="shared" si="130"/>
        <v>590.29999999999995</v>
      </c>
      <c r="BI102" s="349">
        <f t="shared" si="130"/>
        <v>0</v>
      </c>
      <c r="BJ102" s="348"/>
      <c r="BK102" s="348"/>
      <c r="BL102" s="349">
        <f t="shared" si="131"/>
        <v>1690.3</v>
      </c>
      <c r="BM102" s="349">
        <f t="shared" si="132"/>
        <v>500</v>
      </c>
    </row>
    <row r="103" spans="1:65" x14ac:dyDescent="0.25">
      <c r="A103" s="347" t="s">
        <v>95</v>
      </c>
      <c r="B103" s="352"/>
      <c r="C103" s="348"/>
      <c r="D103" s="349">
        <f>250</f>
        <v>250</v>
      </c>
      <c r="E103" s="349">
        <f>11000</f>
        <v>11000</v>
      </c>
      <c r="F103" s="354">
        <f>502.9</f>
        <v>502.9</v>
      </c>
      <c r="G103" s="348"/>
      <c r="H103" s="348"/>
      <c r="I103" s="348"/>
      <c r="J103" s="352"/>
      <c r="K103" s="348"/>
      <c r="L103" s="352"/>
      <c r="M103" s="348"/>
      <c r="N103" s="349">
        <f>189</f>
        <v>189</v>
      </c>
      <c r="O103" s="348"/>
      <c r="P103" s="348"/>
      <c r="Q103" s="348"/>
      <c r="R103" s="348"/>
      <c r="S103" s="348"/>
      <c r="T103" s="348"/>
      <c r="U103" s="348"/>
      <c r="V103" s="349">
        <f>4405.33</f>
        <v>4405.33</v>
      </c>
      <c r="W103" s="348"/>
      <c r="X103" s="348"/>
      <c r="Y103" s="348"/>
      <c r="Z103" s="348"/>
      <c r="AA103" s="348"/>
      <c r="AB103" s="354">
        <f t="shared" si="126"/>
        <v>4594.33</v>
      </c>
      <c r="AC103" s="349">
        <f t="shared" si="126"/>
        <v>0</v>
      </c>
      <c r="AD103" s="348"/>
      <c r="AE103" s="348"/>
      <c r="AF103" s="348"/>
      <c r="AG103" s="348"/>
      <c r="AH103" s="349">
        <f>5265.01</f>
        <v>5265.01</v>
      </c>
      <c r="AI103" s="348"/>
      <c r="AJ103" s="348"/>
      <c r="AK103" s="348"/>
      <c r="AL103" s="354">
        <f t="shared" si="127"/>
        <v>5265.01</v>
      </c>
      <c r="AM103" s="349">
        <f t="shared" si="127"/>
        <v>0</v>
      </c>
      <c r="AN103" s="352"/>
      <c r="AO103" s="348"/>
      <c r="AP103" s="352"/>
      <c r="AQ103" s="348"/>
      <c r="AR103" s="352"/>
      <c r="AS103" s="348"/>
      <c r="AT103" s="352"/>
      <c r="AU103" s="348"/>
      <c r="AV103" s="354">
        <f t="shared" si="128"/>
        <v>0</v>
      </c>
      <c r="AW103" s="349">
        <f t="shared" si="128"/>
        <v>0</v>
      </c>
      <c r="AX103" s="349">
        <f>500</f>
        <v>500</v>
      </c>
      <c r="AY103" s="348"/>
      <c r="AZ103" s="349">
        <f>124.81</f>
        <v>124.81</v>
      </c>
      <c r="BA103" s="348"/>
      <c r="BB103" s="349">
        <f t="shared" si="129"/>
        <v>624.80999999999995</v>
      </c>
      <c r="BC103" s="349">
        <f t="shared" si="129"/>
        <v>0</v>
      </c>
      <c r="BD103" s="349">
        <f>110.06</f>
        <v>110.06</v>
      </c>
      <c r="BE103" s="348"/>
      <c r="BF103" s="348"/>
      <c r="BG103" s="348"/>
      <c r="BH103" s="349">
        <f t="shared" si="130"/>
        <v>110.06</v>
      </c>
      <c r="BI103" s="349">
        <f t="shared" si="130"/>
        <v>0</v>
      </c>
      <c r="BJ103" s="348"/>
      <c r="BK103" s="348"/>
      <c r="BL103" s="349">
        <f t="shared" si="131"/>
        <v>11347.109999999999</v>
      </c>
      <c r="BM103" s="349">
        <f t="shared" si="132"/>
        <v>11000</v>
      </c>
    </row>
    <row r="104" spans="1:65" x14ac:dyDescent="0.25">
      <c r="A104" s="347" t="s">
        <v>96</v>
      </c>
      <c r="B104" s="353">
        <f t="shared" ref="B104:AA104" si="138">((((B99)+(B100))+(B101))+(B102))+(B103)</f>
        <v>114.49</v>
      </c>
      <c r="C104" s="350">
        <f t="shared" si="138"/>
        <v>500</v>
      </c>
      <c r="D104" s="350">
        <f t="shared" si="138"/>
        <v>6870.96</v>
      </c>
      <c r="E104" s="350">
        <f t="shared" si="138"/>
        <v>16000</v>
      </c>
      <c r="F104" s="353">
        <f t="shared" si="138"/>
        <v>2238.46</v>
      </c>
      <c r="G104" s="350">
        <f t="shared" si="138"/>
        <v>750</v>
      </c>
      <c r="H104" s="350">
        <f t="shared" si="138"/>
        <v>0</v>
      </c>
      <c r="I104" s="350">
        <f t="shared" si="138"/>
        <v>0</v>
      </c>
      <c r="J104" s="353">
        <f t="shared" si="138"/>
        <v>950.48</v>
      </c>
      <c r="K104" s="350">
        <f t="shared" si="138"/>
        <v>0</v>
      </c>
      <c r="L104" s="353">
        <f t="shared" ref="L104" si="139">((((L99)+(L100))+(L101))+(L102))+(L103)</f>
        <v>950.48</v>
      </c>
      <c r="M104" s="350">
        <f t="shared" ref="M104" si="140">((((M99)+(M100))+(M101))+(M102))+(M103)</f>
        <v>0</v>
      </c>
      <c r="N104" s="350">
        <f t="shared" si="138"/>
        <v>809.24</v>
      </c>
      <c r="O104" s="350">
        <f t="shared" si="138"/>
        <v>0</v>
      </c>
      <c r="P104" s="350">
        <f t="shared" si="138"/>
        <v>0</v>
      </c>
      <c r="Q104" s="350">
        <f t="shared" si="138"/>
        <v>0</v>
      </c>
      <c r="R104" s="350">
        <f t="shared" si="138"/>
        <v>0</v>
      </c>
      <c r="S104" s="350">
        <f t="shared" si="138"/>
        <v>0</v>
      </c>
      <c r="T104" s="350">
        <f t="shared" si="138"/>
        <v>0</v>
      </c>
      <c r="U104" s="350">
        <f t="shared" si="138"/>
        <v>0</v>
      </c>
      <c r="V104" s="350">
        <f t="shared" si="138"/>
        <v>15202.83</v>
      </c>
      <c r="W104" s="350">
        <f t="shared" si="138"/>
        <v>0</v>
      </c>
      <c r="X104" s="350">
        <f t="shared" si="138"/>
        <v>0</v>
      </c>
      <c r="Y104" s="350">
        <f t="shared" si="138"/>
        <v>0</v>
      </c>
      <c r="Z104" s="350">
        <f t="shared" si="138"/>
        <v>9250</v>
      </c>
      <c r="AA104" s="350">
        <f t="shared" si="138"/>
        <v>0</v>
      </c>
      <c r="AB104" s="353">
        <f t="shared" si="126"/>
        <v>25262.07</v>
      </c>
      <c r="AC104" s="350">
        <f t="shared" si="126"/>
        <v>0</v>
      </c>
      <c r="AD104" s="350">
        <f t="shared" ref="AD104:AK104" si="141">((((AD99)+(AD100))+(AD101))+(AD102))+(AD103)</f>
        <v>2061.56</v>
      </c>
      <c r="AE104" s="350">
        <f t="shared" si="141"/>
        <v>14951.6</v>
      </c>
      <c r="AF104" s="350">
        <f t="shared" si="141"/>
        <v>0</v>
      </c>
      <c r="AG104" s="350">
        <f t="shared" si="141"/>
        <v>0</v>
      </c>
      <c r="AH104" s="350">
        <f t="shared" si="141"/>
        <v>5263.04</v>
      </c>
      <c r="AI104" s="350">
        <f t="shared" si="141"/>
        <v>0</v>
      </c>
      <c r="AJ104" s="350">
        <f t="shared" si="141"/>
        <v>0</v>
      </c>
      <c r="AK104" s="350">
        <f t="shared" si="141"/>
        <v>0</v>
      </c>
      <c r="AL104" s="353">
        <f t="shared" si="127"/>
        <v>7324.6</v>
      </c>
      <c r="AM104" s="350">
        <f t="shared" si="127"/>
        <v>14951.6</v>
      </c>
      <c r="AN104" s="353">
        <f t="shared" ref="AN104:AU104" si="142">((((AN99)+(AN100))+(AN101))+(AN102))+(AN103)</f>
        <v>37.840000000000003</v>
      </c>
      <c r="AO104" s="350">
        <f t="shared" si="142"/>
        <v>0</v>
      </c>
      <c r="AP104" s="353">
        <f t="shared" si="142"/>
        <v>787.84</v>
      </c>
      <c r="AQ104" s="350">
        <f t="shared" si="142"/>
        <v>0</v>
      </c>
      <c r="AR104" s="353">
        <f t="shared" si="142"/>
        <v>30.84</v>
      </c>
      <c r="AS104" s="350">
        <f t="shared" si="142"/>
        <v>0</v>
      </c>
      <c r="AT104" s="353">
        <f t="shared" si="142"/>
        <v>43</v>
      </c>
      <c r="AU104" s="350">
        <f t="shared" si="142"/>
        <v>0</v>
      </c>
      <c r="AV104" s="353">
        <f t="shared" si="128"/>
        <v>73.84</v>
      </c>
      <c r="AW104" s="350">
        <f t="shared" si="128"/>
        <v>0</v>
      </c>
      <c r="AX104" s="350">
        <f>((((AX99)+(AX100))+(AX101))+(AX102))+(AX103)</f>
        <v>1613.22</v>
      </c>
      <c r="AY104" s="350">
        <f>((((AY99)+(AY100))+(AY101))+(AY102))+(AY103)</f>
        <v>0</v>
      </c>
      <c r="AZ104" s="350">
        <f>((((AZ99)+(AZ100))+(AZ101))+(AZ102))+(AZ103)</f>
        <v>17910.09</v>
      </c>
      <c r="BA104" s="350">
        <f>((((BA99)+(BA100))+(BA101))+(BA102))+(BA103)</f>
        <v>6287.5</v>
      </c>
      <c r="BB104" s="350">
        <f t="shared" si="129"/>
        <v>19523.310000000001</v>
      </c>
      <c r="BC104" s="350">
        <f t="shared" si="129"/>
        <v>6287.5</v>
      </c>
      <c r="BD104" s="350">
        <f>((((BD99)+(BD100))+(BD101))+(BD102))+(BD103)</f>
        <v>1258.0899999999999</v>
      </c>
      <c r="BE104" s="350">
        <f>((((BE99)+(BE100))+(BE101))+(BE102))+(BE103)</f>
        <v>0</v>
      </c>
      <c r="BF104" s="350">
        <f>((((BF99)+(BF100))+(BF101))+(BF102))+(BF103)</f>
        <v>0</v>
      </c>
      <c r="BG104" s="350">
        <f>((((BG99)+(BG100))+(BG101))+(BG102))+(BG103)</f>
        <v>0</v>
      </c>
      <c r="BH104" s="350">
        <f t="shared" si="130"/>
        <v>1258.0899999999999</v>
      </c>
      <c r="BI104" s="350">
        <f t="shared" si="130"/>
        <v>0</v>
      </c>
      <c r="BJ104" s="350">
        <f>((((BJ99)+(BJ100))+(BJ101))+(BJ102))+(BJ103)</f>
        <v>0</v>
      </c>
      <c r="BK104" s="350">
        <f>((((BK99)+(BK100))+(BK101))+(BK102))+(BK103)</f>
        <v>0</v>
      </c>
      <c r="BL104" s="350">
        <f t="shared" si="131"/>
        <v>64441.979999999981</v>
      </c>
      <c r="BM104" s="350">
        <f t="shared" si="132"/>
        <v>38489.1</v>
      </c>
    </row>
    <row r="105" spans="1:65" x14ac:dyDescent="0.25">
      <c r="A105" s="347" t="s">
        <v>733</v>
      </c>
      <c r="B105" s="352"/>
      <c r="C105" s="348"/>
      <c r="D105" s="348"/>
      <c r="E105" s="348"/>
      <c r="F105" s="352"/>
      <c r="G105" s="348"/>
      <c r="H105" s="348"/>
      <c r="I105" s="348"/>
      <c r="J105" s="352"/>
      <c r="K105" s="348"/>
      <c r="L105" s="352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54">
        <f t="shared" si="126"/>
        <v>0</v>
      </c>
      <c r="AC105" s="349">
        <f t="shared" si="126"/>
        <v>0</v>
      </c>
      <c r="AD105" s="348"/>
      <c r="AE105" s="348"/>
      <c r="AF105" s="348"/>
      <c r="AG105" s="348"/>
      <c r="AH105" s="348"/>
      <c r="AI105" s="348"/>
      <c r="AJ105" s="348"/>
      <c r="AK105" s="348"/>
      <c r="AL105" s="354">
        <f t="shared" si="127"/>
        <v>0</v>
      </c>
      <c r="AM105" s="349">
        <f t="shared" si="127"/>
        <v>0</v>
      </c>
      <c r="AN105" s="352"/>
      <c r="AO105" s="348"/>
      <c r="AP105" s="352"/>
      <c r="AQ105" s="348"/>
      <c r="AR105" s="352"/>
      <c r="AS105" s="348"/>
      <c r="AT105" s="352"/>
      <c r="AU105" s="348"/>
      <c r="AV105" s="354">
        <f t="shared" si="128"/>
        <v>0</v>
      </c>
      <c r="AW105" s="349">
        <f t="shared" si="128"/>
        <v>0</v>
      </c>
      <c r="AX105" s="348"/>
      <c r="AY105" s="348"/>
      <c r="AZ105" s="348"/>
      <c r="BA105" s="348"/>
      <c r="BB105" s="349">
        <f t="shared" si="129"/>
        <v>0</v>
      </c>
      <c r="BC105" s="349">
        <f t="shared" si="129"/>
        <v>0</v>
      </c>
      <c r="BD105" s="348"/>
      <c r="BE105" s="348"/>
      <c r="BF105" s="348"/>
      <c r="BG105" s="348"/>
      <c r="BH105" s="349">
        <f t="shared" si="130"/>
        <v>0</v>
      </c>
      <c r="BI105" s="349">
        <f t="shared" si="130"/>
        <v>0</v>
      </c>
      <c r="BJ105" s="348"/>
      <c r="BK105" s="348"/>
      <c r="BL105" s="349">
        <f t="shared" si="131"/>
        <v>0</v>
      </c>
      <c r="BM105" s="349">
        <f t="shared" si="132"/>
        <v>0</v>
      </c>
    </row>
    <row r="106" spans="1:65" x14ac:dyDescent="0.25">
      <c r="A106" s="347" t="s">
        <v>734</v>
      </c>
      <c r="B106" s="352"/>
      <c r="C106" s="348"/>
      <c r="D106" s="349">
        <f>49</f>
        <v>49</v>
      </c>
      <c r="E106" s="348"/>
      <c r="F106" s="352"/>
      <c r="G106" s="348"/>
      <c r="H106" s="348"/>
      <c r="I106" s="348"/>
      <c r="J106" s="352"/>
      <c r="K106" s="348"/>
      <c r="L106" s="352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/>
      <c r="W106" s="348"/>
      <c r="X106" s="348"/>
      <c r="Y106" s="348"/>
      <c r="Z106" s="348"/>
      <c r="AA106" s="348"/>
      <c r="AB106" s="354">
        <f t="shared" si="126"/>
        <v>0</v>
      </c>
      <c r="AC106" s="349">
        <f t="shared" si="126"/>
        <v>0</v>
      </c>
      <c r="AD106" s="348"/>
      <c r="AE106" s="349">
        <f>500</f>
        <v>500</v>
      </c>
      <c r="AF106" s="348"/>
      <c r="AG106" s="348"/>
      <c r="AH106" s="348"/>
      <c r="AI106" s="348"/>
      <c r="AJ106" s="348"/>
      <c r="AK106" s="348"/>
      <c r="AL106" s="354">
        <f t="shared" si="127"/>
        <v>0</v>
      </c>
      <c r="AM106" s="349">
        <f t="shared" si="127"/>
        <v>500</v>
      </c>
      <c r="AN106" s="354">
        <f>2921.73</f>
        <v>2921.73</v>
      </c>
      <c r="AO106" s="348"/>
      <c r="AP106" s="354">
        <f>12000</f>
        <v>12000</v>
      </c>
      <c r="AQ106" s="348"/>
      <c r="AR106" s="352"/>
      <c r="AS106" s="348"/>
      <c r="AT106" s="352"/>
      <c r="AU106" s="348"/>
      <c r="AV106" s="354">
        <f t="shared" si="128"/>
        <v>0</v>
      </c>
      <c r="AW106" s="349">
        <f t="shared" si="128"/>
        <v>0</v>
      </c>
      <c r="AX106" s="348"/>
      <c r="AY106" s="348"/>
      <c r="AZ106" s="348"/>
      <c r="BA106" s="348"/>
      <c r="BB106" s="349">
        <f t="shared" si="129"/>
        <v>0</v>
      </c>
      <c r="BC106" s="349">
        <f t="shared" si="129"/>
        <v>0</v>
      </c>
      <c r="BD106" s="348"/>
      <c r="BE106" s="348"/>
      <c r="BF106" s="348"/>
      <c r="BG106" s="348"/>
      <c r="BH106" s="349">
        <f t="shared" si="130"/>
        <v>0</v>
      </c>
      <c r="BI106" s="349">
        <f t="shared" si="130"/>
        <v>0</v>
      </c>
      <c r="BJ106" s="348"/>
      <c r="BK106" s="348"/>
      <c r="BL106" s="349">
        <f t="shared" si="131"/>
        <v>14970.73</v>
      </c>
      <c r="BM106" s="349">
        <f t="shared" si="132"/>
        <v>500</v>
      </c>
    </row>
    <row r="107" spans="1:65" x14ac:dyDescent="0.25">
      <c r="A107" s="347" t="s">
        <v>98</v>
      </c>
      <c r="B107" s="352"/>
      <c r="C107" s="349">
        <f>10000</f>
        <v>10000</v>
      </c>
      <c r="D107" s="348"/>
      <c r="E107" s="349">
        <f>250</f>
        <v>250</v>
      </c>
      <c r="F107" s="352"/>
      <c r="G107" s="348"/>
      <c r="H107" s="348"/>
      <c r="I107" s="348"/>
      <c r="J107" s="352"/>
      <c r="K107" s="348"/>
      <c r="L107" s="352"/>
      <c r="M107" s="348"/>
      <c r="N107" s="348"/>
      <c r="O107" s="348"/>
      <c r="P107" s="348"/>
      <c r="Q107" s="348"/>
      <c r="R107" s="348"/>
      <c r="S107" s="348"/>
      <c r="T107" s="349">
        <f>38.49</f>
        <v>38.49</v>
      </c>
      <c r="U107" s="348"/>
      <c r="V107" s="348"/>
      <c r="W107" s="348"/>
      <c r="X107" s="348"/>
      <c r="Y107" s="348"/>
      <c r="Z107" s="348"/>
      <c r="AA107" s="348"/>
      <c r="AB107" s="354">
        <f t="shared" si="126"/>
        <v>38.49</v>
      </c>
      <c r="AC107" s="349">
        <f t="shared" si="126"/>
        <v>0</v>
      </c>
      <c r="AD107" s="348"/>
      <c r="AE107" s="349">
        <f>1365.61</f>
        <v>1365.61</v>
      </c>
      <c r="AF107" s="348"/>
      <c r="AG107" s="348"/>
      <c r="AH107" s="349">
        <f>446.79</f>
        <v>446.79</v>
      </c>
      <c r="AI107" s="348"/>
      <c r="AJ107" s="348"/>
      <c r="AK107" s="348"/>
      <c r="AL107" s="354">
        <f t="shared" si="127"/>
        <v>446.79</v>
      </c>
      <c r="AM107" s="349">
        <f t="shared" si="127"/>
        <v>1365.61</v>
      </c>
      <c r="AN107" s="352"/>
      <c r="AO107" s="348"/>
      <c r="AP107" s="352"/>
      <c r="AQ107" s="348"/>
      <c r="AR107" s="354">
        <f>1125</f>
        <v>1125</v>
      </c>
      <c r="AS107" s="348"/>
      <c r="AT107" s="354">
        <f>2099.36</f>
        <v>2099.36</v>
      </c>
      <c r="AU107" s="348"/>
      <c r="AV107" s="354">
        <f t="shared" si="128"/>
        <v>3224.36</v>
      </c>
      <c r="AW107" s="349">
        <f t="shared" si="128"/>
        <v>0</v>
      </c>
      <c r="AX107" s="348"/>
      <c r="AY107" s="348"/>
      <c r="AZ107" s="349">
        <f>1509.13</f>
        <v>1509.13</v>
      </c>
      <c r="BA107" s="348"/>
      <c r="BB107" s="349">
        <f t="shared" si="129"/>
        <v>1509.13</v>
      </c>
      <c r="BC107" s="349">
        <f t="shared" si="129"/>
        <v>0</v>
      </c>
      <c r="BD107" s="349">
        <f>1563.61</f>
        <v>1563.61</v>
      </c>
      <c r="BE107" s="348"/>
      <c r="BF107" s="349">
        <f>673.47</f>
        <v>673.47</v>
      </c>
      <c r="BG107" s="348"/>
      <c r="BH107" s="349">
        <f t="shared" si="130"/>
        <v>2237.08</v>
      </c>
      <c r="BI107" s="349">
        <f t="shared" si="130"/>
        <v>0</v>
      </c>
      <c r="BJ107" s="348"/>
      <c r="BK107" s="348"/>
      <c r="BL107" s="349">
        <f t="shared" si="131"/>
        <v>7455.85</v>
      </c>
      <c r="BM107" s="349">
        <f t="shared" si="132"/>
        <v>11615.61</v>
      </c>
    </row>
    <row r="108" spans="1:65" x14ac:dyDescent="0.25">
      <c r="A108" s="347" t="s">
        <v>99</v>
      </c>
      <c r="B108" s="352"/>
      <c r="C108" s="348"/>
      <c r="D108" s="348"/>
      <c r="E108" s="349">
        <f>9900</f>
        <v>9900</v>
      </c>
      <c r="F108" s="352"/>
      <c r="G108" s="348"/>
      <c r="H108" s="348"/>
      <c r="I108" s="348"/>
      <c r="J108" s="352"/>
      <c r="K108" s="348"/>
      <c r="L108" s="352"/>
      <c r="M108" s="348"/>
      <c r="N108" s="348"/>
      <c r="O108" s="348"/>
      <c r="P108" s="348"/>
      <c r="Q108" s="348"/>
      <c r="R108" s="348"/>
      <c r="S108" s="348"/>
      <c r="T108" s="348"/>
      <c r="U108" s="348"/>
      <c r="V108" s="348"/>
      <c r="W108" s="348"/>
      <c r="X108" s="348"/>
      <c r="Y108" s="348"/>
      <c r="Z108" s="348"/>
      <c r="AA108" s="348"/>
      <c r="AB108" s="354">
        <f t="shared" si="126"/>
        <v>0</v>
      </c>
      <c r="AC108" s="349">
        <f t="shared" si="126"/>
        <v>0</v>
      </c>
      <c r="AD108" s="348"/>
      <c r="AE108" s="348"/>
      <c r="AF108" s="348"/>
      <c r="AG108" s="348"/>
      <c r="AH108" s="348"/>
      <c r="AI108" s="348"/>
      <c r="AJ108" s="348"/>
      <c r="AK108" s="348"/>
      <c r="AL108" s="354">
        <f t="shared" si="127"/>
        <v>0</v>
      </c>
      <c r="AM108" s="349">
        <f t="shared" si="127"/>
        <v>0</v>
      </c>
      <c r="AN108" s="352"/>
      <c r="AO108" s="348"/>
      <c r="AP108" s="352"/>
      <c r="AQ108" s="348"/>
      <c r="AR108" s="352"/>
      <c r="AS108" s="348"/>
      <c r="AT108" s="352"/>
      <c r="AU108" s="348"/>
      <c r="AV108" s="354">
        <f t="shared" si="128"/>
        <v>0</v>
      </c>
      <c r="AW108" s="349">
        <f t="shared" si="128"/>
        <v>0</v>
      </c>
      <c r="AX108" s="348"/>
      <c r="AY108" s="348"/>
      <c r="AZ108" s="348"/>
      <c r="BA108" s="348"/>
      <c r="BB108" s="349">
        <f t="shared" si="129"/>
        <v>0</v>
      </c>
      <c r="BC108" s="349">
        <f t="shared" si="129"/>
        <v>0</v>
      </c>
      <c r="BD108" s="348"/>
      <c r="BE108" s="348"/>
      <c r="BF108" s="348"/>
      <c r="BG108" s="348"/>
      <c r="BH108" s="349">
        <f t="shared" si="130"/>
        <v>0</v>
      </c>
      <c r="BI108" s="349">
        <f t="shared" si="130"/>
        <v>0</v>
      </c>
      <c r="BJ108" s="348"/>
      <c r="BK108" s="348"/>
      <c r="BL108" s="349">
        <f t="shared" si="131"/>
        <v>0</v>
      </c>
      <c r="BM108" s="349">
        <f t="shared" si="132"/>
        <v>9900</v>
      </c>
    </row>
    <row r="109" spans="1:65" x14ac:dyDescent="0.25">
      <c r="A109" s="347" t="s">
        <v>100</v>
      </c>
      <c r="B109" s="354">
        <f>957.38</f>
        <v>957.38</v>
      </c>
      <c r="C109" s="348"/>
      <c r="D109" s="348"/>
      <c r="E109" s="348"/>
      <c r="F109" s="352"/>
      <c r="G109" s="348"/>
      <c r="H109" s="348"/>
      <c r="I109" s="348"/>
      <c r="J109" s="352"/>
      <c r="K109" s="348"/>
      <c r="L109" s="352"/>
      <c r="M109" s="348"/>
      <c r="N109" s="348"/>
      <c r="O109" s="348"/>
      <c r="P109" s="348"/>
      <c r="Q109" s="348"/>
      <c r="R109" s="348"/>
      <c r="S109" s="348"/>
      <c r="T109" s="349">
        <f>106.69</f>
        <v>106.69</v>
      </c>
      <c r="U109" s="348"/>
      <c r="V109" s="348"/>
      <c r="W109" s="348"/>
      <c r="X109" s="348"/>
      <c r="Y109" s="348"/>
      <c r="Z109" s="348"/>
      <c r="AA109" s="348"/>
      <c r="AB109" s="354">
        <f t="shared" si="126"/>
        <v>106.69</v>
      </c>
      <c r="AC109" s="349">
        <f t="shared" si="126"/>
        <v>0</v>
      </c>
      <c r="AD109" s="348"/>
      <c r="AE109" s="348"/>
      <c r="AF109" s="348"/>
      <c r="AG109" s="348"/>
      <c r="AH109" s="349">
        <f>100</f>
        <v>100</v>
      </c>
      <c r="AI109" s="348"/>
      <c r="AJ109" s="348"/>
      <c r="AK109" s="348"/>
      <c r="AL109" s="354">
        <f t="shared" si="127"/>
        <v>100</v>
      </c>
      <c r="AM109" s="349">
        <f t="shared" si="127"/>
        <v>0</v>
      </c>
      <c r="AN109" s="352"/>
      <c r="AO109" s="348"/>
      <c r="AP109" s="352"/>
      <c r="AQ109" s="348"/>
      <c r="AR109" s="352"/>
      <c r="AS109" s="348"/>
      <c r="AT109" s="352"/>
      <c r="AU109" s="348"/>
      <c r="AV109" s="354">
        <f t="shared" si="128"/>
        <v>0</v>
      </c>
      <c r="AW109" s="349">
        <f t="shared" si="128"/>
        <v>0</v>
      </c>
      <c r="AX109" s="348"/>
      <c r="AY109" s="348"/>
      <c r="AZ109" s="348"/>
      <c r="BA109" s="348"/>
      <c r="BB109" s="349">
        <f t="shared" si="129"/>
        <v>0</v>
      </c>
      <c r="BC109" s="349">
        <f t="shared" si="129"/>
        <v>0</v>
      </c>
      <c r="BD109" s="348"/>
      <c r="BE109" s="348"/>
      <c r="BF109" s="348"/>
      <c r="BG109" s="348"/>
      <c r="BH109" s="349">
        <f t="shared" si="130"/>
        <v>0</v>
      </c>
      <c r="BI109" s="349">
        <f t="shared" si="130"/>
        <v>0</v>
      </c>
      <c r="BJ109" s="348"/>
      <c r="BK109" s="348"/>
      <c r="BL109" s="349">
        <f t="shared" si="131"/>
        <v>1164.07</v>
      </c>
      <c r="BM109" s="349">
        <f t="shared" si="132"/>
        <v>0</v>
      </c>
    </row>
    <row r="110" spans="1:65" x14ac:dyDescent="0.25">
      <c r="A110" s="347" t="s">
        <v>735</v>
      </c>
      <c r="B110" s="352"/>
      <c r="C110" s="348"/>
      <c r="D110" s="349">
        <f>623.59</f>
        <v>623.59</v>
      </c>
      <c r="E110" s="348"/>
      <c r="F110" s="352"/>
      <c r="G110" s="348"/>
      <c r="H110" s="348"/>
      <c r="I110" s="348"/>
      <c r="J110" s="352"/>
      <c r="K110" s="348"/>
      <c r="L110" s="352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/>
      <c r="X110" s="348"/>
      <c r="Y110" s="348"/>
      <c r="Z110" s="348"/>
      <c r="AA110" s="348"/>
      <c r="AB110" s="354">
        <f t="shared" si="126"/>
        <v>0</v>
      </c>
      <c r="AC110" s="349">
        <f t="shared" si="126"/>
        <v>0</v>
      </c>
      <c r="AD110" s="348"/>
      <c r="AE110" s="348"/>
      <c r="AF110" s="348"/>
      <c r="AG110" s="348"/>
      <c r="AH110" s="348"/>
      <c r="AI110" s="348"/>
      <c r="AJ110" s="348"/>
      <c r="AK110" s="348"/>
      <c r="AL110" s="354">
        <f t="shared" si="127"/>
        <v>0</v>
      </c>
      <c r="AM110" s="349">
        <f t="shared" si="127"/>
        <v>0</v>
      </c>
      <c r="AN110" s="352"/>
      <c r="AO110" s="348"/>
      <c r="AP110" s="352"/>
      <c r="AQ110" s="348"/>
      <c r="AR110" s="352"/>
      <c r="AS110" s="348"/>
      <c r="AT110" s="352"/>
      <c r="AU110" s="348"/>
      <c r="AV110" s="354">
        <f t="shared" si="128"/>
        <v>0</v>
      </c>
      <c r="AW110" s="349">
        <f t="shared" si="128"/>
        <v>0</v>
      </c>
      <c r="AX110" s="348"/>
      <c r="AY110" s="348"/>
      <c r="AZ110" s="348"/>
      <c r="BA110" s="348"/>
      <c r="BB110" s="349">
        <f t="shared" si="129"/>
        <v>0</v>
      </c>
      <c r="BC110" s="349">
        <f t="shared" si="129"/>
        <v>0</v>
      </c>
      <c r="BD110" s="348"/>
      <c r="BE110" s="348"/>
      <c r="BF110" s="348"/>
      <c r="BG110" s="348"/>
      <c r="BH110" s="349">
        <f t="shared" si="130"/>
        <v>0</v>
      </c>
      <c r="BI110" s="349">
        <f t="shared" si="130"/>
        <v>0</v>
      </c>
      <c r="BJ110" s="348"/>
      <c r="BK110" s="348"/>
      <c r="BL110" s="349">
        <f t="shared" si="131"/>
        <v>623.59</v>
      </c>
      <c r="BM110" s="349">
        <f t="shared" si="132"/>
        <v>0</v>
      </c>
    </row>
    <row r="111" spans="1:65" x14ac:dyDescent="0.25">
      <c r="A111" s="347" t="s">
        <v>736</v>
      </c>
      <c r="B111" s="353">
        <f t="shared" ref="B111:AA111" si="143">(((((B105)+(B106))+(B107))+(B108))+(B109))+(B110)</f>
        <v>957.38</v>
      </c>
      <c r="C111" s="350">
        <f t="shared" si="143"/>
        <v>10000</v>
      </c>
      <c r="D111" s="350">
        <f t="shared" si="143"/>
        <v>672.59</v>
      </c>
      <c r="E111" s="350">
        <f t="shared" si="143"/>
        <v>10150</v>
      </c>
      <c r="F111" s="353">
        <f t="shared" si="143"/>
        <v>0</v>
      </c>
      <c r="G111" s="350">
        <f t="shared" si="143"/>
        <v>0</v>
      </c>
      <c r="H111" s="350">
        <f t="shared" si="143"/>
        <v>0</v>
      </c>
      <c r="I111" s="350">
        <f t="shared" si="143"/>
        <v>0</v>
      </c>
      <c r="J111" s="353">
        <f t="shared" si="143"/>
        <v>0</v>
      </c>
      <c r="K111" s="350">
        <f t="shared" si="143"/>
        <v>0</v>
      </c>
      <c r="L111" s="353">
        <f t="shared" ref="L111" si="144">(((((L105)+(L106))+(L107))+(L108))+(L109))+(L110)</f>
        <v>0</v>
      </c>
      <c r="M111" s="350">
        <f t="shared" ref="M111" si="145">(((((M105)+(M106))+(M107))+(M108))+(M109))+(M110)</f>
        <v>0</v>
      </c>
      <c r="N111" s="350">
        <f t="shared" si="143"/>
        <v>0</v>
      </c>
      <c r="O111" s="350">
        <f t="shared" si="143"/>
        <v>0</v>
      </c>
      <c r="P111" s="350">
        <f t="shared" si="143"/>
        <v>0</v>
      </c>
      <c r="Q111" s="350">
        <f t="shared" si="143"/>
        <v>0</v>
      </c>
      <c r="R111" s="350">
        <f t="shared" si="143"/>
        <v>0</v>
      </c>
      <c r="S111" s="350">
        <f t="shared" si="143"/>
        <v>0</v>
      </c>
      <c r="T111" s="350">
        <f t="shared" si="143"/>
        <v>145.18</v>
      </c>
      <c r="U111" s="350">
        <f t="shared" si="143"/>
        <v>0</v>
      </c>
      <c r="V111" s="350">
        <f t="shared" si="143"/>
        <v>0</v>
      </c>
      <c r="W111" s="350">
        <f t="shared" si="143"/>
        <v>0</v>
      </c>
      <c r="X111" s="350">
        <f t="shared" si="143"/>
        <v>0</v>
      </c>
      <c r="Y111" s="350">
        <f t="shared" si="143"/>
        <v>0</v>
      </c>
      <c r="Z111" s="350">
        <f t="shared" si="143"/>
        <v>0</v>
      </c>
      <c r="AA111" s="350">
        <f t="shared" si="143"/>
        <v>0</v>
      </c>
      <c r="AB111" s="353">
        <f t="shared" si="126"/>
        <v>145.18</v>
      </c>
      <c r="AC111" s="350">
        <f t="shared" si="126"/>
        <v>0</v>
      </c>
      <c r="AD111" s="350">
        <f t="shared" ref="AD111:AK111" si="146">(((((AD105)+(AD106))+(AD107))+(AD108))+(AD109))+(AD110)</f>
        <v>0</v>
      </c>
      <c r="AE111" s="350">
        <f t="shared" si="146"/>
        <v>1865.61</v>
      </c>
      <c r="AF111" s="350">
        <f t="shared" si="146"/>
        <v>0</v>
      </c>
      <c r="AG111" s="350">
        <f t="shared" si="146"/>
        <v>0</v>
      </c>
      <c r="AH111" s="350">
        <f t="shared" si="146"/>
        <v>546.79</v>
      </c>
      <c r="AI111" s="350">
        <f t="shared" si="146"/>
        <v>0</v>
      </c>
      <c r="AJ111" s="350">
        <f t="shared" si="146"/>
        <v>0</v>
      </c>
      <c r="AK111" s="350">
        <f t="shared" si="146"/>
        <v>0</v>
      </c>
      <c r="AL111" s="353">
        <f t="shared" si="127"/>
        <v>546.79</v>
      </c>
      <c r="AM111" s="350">
        <f t="shared" si="127"/>
        <v>1865.61</v>
      </c>
      <c r="AN111" s="353">
        <f t="shared" ref="AN111:AU111" si="147">(((((AN105)+(AN106))+(AN107))+(AN108))+(AN109))+(AN110)</f>
        <v>2921.73</v>
      </c>
      <c r="AO111" s="350">
        <f t="shared" si="147"/>
        <v>0</v>
      </c>
      <c r="AP111" s="353">
        <f t="shared" si="147"/>
        <v>12000</v>
      </c>
      <c r="AQ111" s="350">
        <f t="shared" si="147"/>
        <v>0</v>
      </c>
      <c r="AR111" s="353">
        <f t="shared" si="147"/>
        <v>1125</v>
      </c>
      <c r="AS111" s="350">
        <f t="shared" si="147"/>
        <v>0</v>
      </c>
      <c r="AT111" s="353">
        <f t="shared" si="147"/>
        <v>2099.36</v>
      </c>
      <c r="AU111" s="350">
        <f t="shared" si="147"/>
        <v>0</v>
      </c>
      <c r="AV111" s="353">
        <f t="shared" si="128"/>
        <v>3224.36</v>
      </c>
      <c r="AW111" s="350">
        <f t="shared" si="128"/>
        <v>0</v>
      </c>
      <c r="AX111" s="350">
        <f>(((((AX105)+(AX106))+(AX107))+(AX108))+(AX109))+(AX110)</f>
        <v>0</v>
      </c>
      <c r="AY111" s="350">
        <f>(((((AY105)+(AY106))+(AY107))+(AY108))+(AY109))+(AY110)</f>
        <v>0</v>
      </c>
      <c r="AZ111" s="350">
        <f>(((((AZ105)+(AZ106))+(AZ107))+(AZ108))+(AZ109))+(AZ110)</f>
        <v>1509.13</v>
      </c>
      <c r="BA111" s="350">
        <f>(((((BA105)+(BA106))+(BA107))+(BA108))+(BA109))+(BA110)</f>
        <v>0</v>
      </c>
      <c r="BB111" s="350">
        <f t="shared" si="129"/>
        <v>1509.13</v>
      </c>
      <c r="BC111" s="350">
        <f t="shared" si="129"/>
        <v>0</v>
      </c>
      <c r="BD111" s="350">
        <f>(((((BD105)+(BD106))+(BD107))+(BD108))+(BD109))+(BD110)</f>
        <v>1563.61</v>
      </c>
      <c r="BE111" s="350">
        <f>(((((BE105)+(BE106))+(BE107))+(BE108))+(BE109))+(BE110)</f>
        <v>0</v>
      </c>
      <c r="BF111" s="350">
        <f>(((((BF105)+(BF106))+(BF107))+(BF108))+(BF109))+(BF110)</f>
        <v>673.47</v>
      </c>
      <c r="BG111" s="350">
        <f>(((((BG105)+(BG106))+(BG107))+(BG108))+(BG109))+(BG110)</f>
        <v>0</v>
      </c>
      <c r="BH111" s="350">
        <f t="shared" si="130"/>
        <v>2237.08</v>
      </c>
      <c r="BI111" s="350">
        <f t="shared" si="130"/>
        <v>0</v>
      </c>
      <c r="BJ111" s="350">
        <f>(((((BJ105)+(BJ106))+(BJ107))+(BJ108))+(BJ109))+(BJ110)</f>
        <v>0</v>
      </c>
      <c r="BK111" s="350">
        <f>(((((BK105)+(BK106))+(BK107))+(BK108))+(BK109))+(BK110)</f>
        <v>0</v>
      </c>
      <c r="BL111" s="350">
        <f t="shared" si="131"/>
        <v>24214.239999999998</v>
      </c>
      <c r="BM111" s="350">
        <f t="shared" si="132"/>
        <v>22015.61</v>
      </c>
    </row>
    <row r="112" spans="1:65" x14ac:dyDescent="0.25">
      <c r="A112" s="347" t="s">
        <v>103</v>
      </c>
      <c r="B112" s="354">
        <f>2411.34</f>
        <v>2411.34</v>
      </c>
      <c r="C112" s="348"/>
      <c r="D112" s="349">
        <f>146.64</f>
        <v>146.63999999999999</v>
      </c>
      <c r="E112" s="349">
        <f>500</f>
        <v>500</v>
      </c>
      <c r="F112" s="354">
        <f>178.07</f>
        <v>178.07</v>
      </c>
      <c r="G112" s="349">
        <f>2400</f>
        <v>2400</v>
      </c>
      <c r="H112" s="348"/>
      <c r="I112" s="348"/>
      <c r="J112" s="354">
        <f>2065.92</f>
        <v>2065.92</v>
      </c>
      <c r="K112" s="348"/>
      <c r="L112" s="354">
        <f>2065.92</f>
        <v>2065.92</v>
      </c>
      <c r="M112" s="348"/>
      <c r="N112" s="349">
        <f>266.62</f>
        <v>266.62</v>
      </c>
      <c r="O112" s="349">
        <f>6094.07</f>
        <v>6094.07</v>
      </c>
      <c r="P112" s="348"/>
      <c r="Q112" s="348"/>
      <c r="R112" s="348"/>
      <c r="S112" s="348"/>
      <c r="T112" s="348"/>
      <c r="U112" s="348"/>
      <c r="V112" s="348"/>
      <c r="W112" s="348"/>
      <c r="X112" s="348"/>
      <c r="Y112" s="348"/>
      <c r="Z112" s="348"/>
      <c r="AA112" s="348"/>
      <c r="AB112" s="354">
        <f t="shared" si="126"/>
        <v>266.62</v>
      </c>
      <c r="AC112" s="349">
        <f t="shared" si="126"/>
        <v>6094.07</v>
      </c>
      <c r="AD112" s="349">
        <f>108.97</f>
        <v>108.97</v>
      </c>
      <c r="AE112" s="349">
        <f>1012</f>
        <v>1012</v>
      </c>
      <c r="AF112" s="348"/>
      <c r="AG112" s="348"/>
      <c r="AH112" s="348"/>
      <c r="AI112" s="348"/>
      <c r="AJ112" s="348"/>
      <c r="AK112" s="348"/>
      <c r="AL112" s="354">
        <f t="shared" si="127"/>
        <v>108.97</v>
      </c>
      <c r="AM112" s="349">
        <f t="shared" si="127"/>
        <v>1012</v>
      </c>
      <c r="AN112" s="354">
        <f>171.16</f>
        <v>171.16</v>
      </c>
      <c r="AO112" s="349">
        <f>13612.62</f>
        <v>13612.62</v>
      </c>
      <c r="AP112" s="354">
        <f>348.78</f>
        <v>348.78</v>
      </c>
      <c r="AQ112" s="348"/>
      <c r="AR112" s="354">
        <f>65.64</f>
        <v>65.64</v>
      </c>
      <c r="AS112" s="348"/>
      <c r="AT112" s="354">
        <f>1.68</f>
        <v>1.68</v>
      </c>
      <c r="AU112" s="348"/>
      <c r="AV112" s="354">
        <f t="shared" si="128"/>
        <v>67.320000000000007</v>
      </c>
      <c r="AW112" s="349">
        <f t="shared" si="128"/>
        <v>0</v>
      </c>
      <c r="AX112" s="349">
        <f>28.14</f>
        <v>28.14</v>
      </c>
      <c r="AY112" s="348"/>
      <c r="AZ112" s="349">
        <f>598.58</f>
        <v>598.58000000000004</v>
      </c>
      <c r="BA112" s="349">
        <f>1000</f>
        <v>1000</v>
      </c>
      <c r="BB112" s="349">
        <f t="shared" si="129"/>
        <v>626.72</v>
      </c>
      <c r="BC112" s="349">
        <f t="shared" si="129"/>
        <v>1000</v>
      </c>
      <c r="BD112" s="349">
        <f>135.91</f>
        <v>135.91</v>
      </c>
      <c r="BE112" s="348"/>
      <c r="BF112" s="348"/>
      <c r="BG112" s="348"/>
      <c r="BH112" s="349">
        <f t="shared" si="130"/>
        <v>135.91</v>
      </c>
      <c r="BI112" s="349">
        <f t="shared" si="130"/>
        <v>0</v>
      </c>
      <c r="BJ112" s="348"/>
      <c r="BK112" s="348"/>
      <c r="BL112" s="349">
        <f t="shared" si="131"/>
        <v>6527.45</v>
      </c>
      <c r="BM112" s="349">
        <f t="shared" si="132"/>
        <v>24618.690000000002</v>
      </c>
    </row>
    <row r="113" spans="1:67" x14ac:dyDescent="0.25">
      <c r="A113" s="347" t="s">
        <v>104</v>
      </c>
      <c r="B113" s="352"/>
      <c r="C113" s="348"/>
      <c r="D113" s="348"/>
      <c r="E113" s="349">
        <f>350</f>
        <v>350</v>
      </c>
      <c r="F113" s="352"/>
      <c r="G113" s="349">
        <f>227.5</f>
        <v>227.5</v>
      </c>
      <c r="H113" s="348"/>
      <c r="I113" s="348"/>
      <c r="J113" s="352"/>
      <c r="K113" s="348"/>
      <c r="L113" s="352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8"/>
      <c r="X113" s="348"/>
      <c r="Y113" s="348"/>
      <c r="Z113" s="348"/>
      <c r="AA113" s="348"/>
      <c r="AB113" s="354">
        <f t="shared" si="126"/>
        <v>0</v>
      </c>
      <c r="AC113" s="349">
        <f t="shared" si="126"/>
        <v>0</v>
      </c>
      <c r="AD113" s="348"/>
      <c r="AE113" s="348"/>
      <c r="AF113" s="348"/>
      <c r="AG113" s="348"/>
      <c r="AH113" s="348"/>
      <c r="AI113" s="348"/>
      <c r="AJ113" s="348"/>
      <c r="AK113" s="348"/>
      <c r="AL113" s="354">
        <f t="shared" si="127"/>
        <v>0</v>
      </c>
      <c r="AM113" s="349">
        <f t="shared" si="127"/>
        <v>0</v>
      </c>
      <c r="AN113" s="352"/>
      <c r="AO113" s="348"/>
      <c r="AP113" s="352"/>
      <c r="AQ113" s="348"/>
      <c r="AR113" s="352"/>
      <c r="AS113" s="348"/>
      <c r="AT113" s="352"/>
      <c r="AU113" s="348"/>
      <c r="AV113" s="354">
        <f t="shared" si="128"/>
        <v>0</v>
      </c>
      <c r="AW113" s="349">
        <f t="shared" si="128"/>
        <v>0</v>
      </c>
      <c r="AX113" s="348"/>
      <c r="AY113" s="348"/>
      <c r="AZ113" s="348"/>
      <c r="BA113" s="348"/>
      <c r="BB113" s="349">
        <f t="shared" si="129"/>
        <v>0</v>
      </c>
      <c r="BC113" s="349">
        <f t="shared" si="129"/>
        <v>0</v>
      </c>
      <c r="BD113" s="348"/>
      <c r="BE113" s="348"/>
      <c r="BF113" s="348"/>
      <c r="BG113" s="348"/>
      <c r="BH113" s="349">
        <f t="shared" si="130"/>
        <v>0</v>
      </c>
      <c r="BI113" s="349">
        <f t="shared" si="130"/>
        <v>0</v>
      </c>
      <c r="BJ113" s="348"/>
      <c r="BK113" s="348"/>
      <c r="BL113" s="349">
        <f t="shared" si="131"/>
        <v>0</v>
      </c>
      <c r="BM113" s="349">
        <f t="shared" si="132"/>
        <v>577.5</v>
      </c>
    </row>
    <row r="114" spans="1:67" x14ac:dyDescent="0.25">
      <c r="A114" s="347" t="s">
        <v>737</v>
      </c>
      <c r="B114" s="354">
        <f>469.97</f>
        <v>469.97</v>
      </c>
      <c r="C114" s="349">
        <f>500</f>
        <v>500</v>
      </c>
      <c r="D114" s="348"/>
      <c r="E114" s="348"/>
      <c r="F114" s="354">
        <f>929.17</f>
        <v>929.17</v>
      </c>
      <c r="G114" s="349">
        <f>500</f>
        <v>500</v>
      </c>
      <c r="H114" s="348"/>
      <c r="I114" s="348"/>
      <c r="J114" s="354">
        <f>38.03</f>
        <v>38.03</v>
      </c>
      <c r="K114" s="348"/>
      <c r="L114" s="354">
        <f>38.03</f>
        <v>38.03</v>
      </c>
      <c r="M114" s="348"/>
      <c r="N114" s="349">
        <f>673.09</f>
        <v>673.09</v>
      </c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54">
        <f t="shared" si="126"/>
        <v>673.09</v>
      </c>
      <c r="AC114" s="349">
        <f t="shared" si="126"/>
        <v>0</v>
      </c>
      <c r="AD114" s="349">
        <f>335.57</f>
        <v>335.57</v>
      </c>
      <c r="AE114" s="348"/>
      <c r="AF114" s="348"/>
      <c r="AG114" s="348"/>
      <c r="AH114" s="348"/>
      <c r="AI114" s="348"/>
      <c r="AJ114" s="348"/>
      <c r="AK114" s="348"/>
      <c r="AL114" s="354">
        <f t="shared" si="127"/>
        <v>335.57</v>
      </c>
      <c r="AM114" s="349">
        <f t="shared" si="127"/>
        <v>0</v>
      </c>
      <c r="AN114" s="354">
        <f>189.16</f>
        <v>189.16</v>
      </c>
      <c r="AO114" s="348"/>
      <c r="AP114" s="354">
        <f>149.16</f>
        <v>149.16</v>
      </c>
      <c r="AQ114" s="348"/>
      <c r="AR114" s="354">
        <f>16.64</f>
        <v>16.64</v>
      </c>
      <c r="AS114" s="348"/>
      <c r="AT114" s="352"/>
      <c r="AU114" s="348"/>
      <c r="AV114" s="354">
        <f t="shared" si="128"/>
        <v>16.64</v>
      </c>
      <c r="AW114" s="349">
        <f t="shared" si="128"/>
        <v>0</v>
      </c>
      <c r="AX114" s="349">
        <f>7.13</f>
        <v>7.13</v>
      </c>
      <c r="AY114" s="348"/>
      <c r="AZ114" s="349">
        <f>7.8</f>
        <v>7.8</v>
      </c>
      <c r="BA114" s="348"/>
      <c r="BB114" s="349">
        <f t="shared" si="129"/>
        <v>14.93</v>
      </c>
      <c r="BC114" s="349">
        <f t="shared" si="129"/>
        <v>0</v>
      </c>
      <c r="BD114" s="348"/>
      <c r="BE114" s="348"/>
      <c r="BF114" s="348"/>
      <c r="BG114" s="348"/>
      <c r="BH114" s="349">
        <f t="shared" si="130"/>
        <v>0</v>
      </c>
      <c r="BI114" s="349">
        <f t="shared" si="130"/>
        <v>0</v>
      </c>
      <c r="BJ114" s="348"/>
      <c r="BK114" s="348"/>
      <c r="BL114" s="349">
        <f t="shared" si="131"/>
        <v>2815.7199999999993</v>
      </c>
      <c r="BM114" s="349">
        <f t="shared" si="132"/>
        <v>1000</v>
      </c>
    </row>
    <row r="115" spans="1:67" x14ac:dyDescent="0.25">
      <c r="A115" s="347" t="s">
        <v>106</v>
      </c>
      <c r="B115" s="354">
        <f>1039.77</f>
        <v>1039.77</v>
      </c>
      <c r="C115" s="348"/>
      <c r="D115" s="348"/>
      <c r="E115" s="348"/>
      <c r="F115" s="354">
        <f>91.38</f>
        <v>91.38</v>
      </c>
      <c r="G115" s="348"/>
      <c r="H115" s="348"/>
      <c r="I115" s="348"/>
      <c r="J115" s="354">
        <f>461.15</f>
        <v>461.15</v>
      </c>
      <c r="K115" s="348"/>
      <c r="L115" s="354">
        <f>461.15</f>
        <v>461.15</v>
      </c>
      <c r="M115" s="348"/>
      <c r="N115" s="349">
        <f>109.86</f>
        <v>109.86</v>
      </c>
      <c r="O115" s="348"/>
      <c r="P115" s="348"/>
      <c r="Q115" s="348"/>
      <c r="R115" s="348"/>
      <c r="S115" s="348"/>
      <c r="T115" s="348"/>
      <c r="U115" s="348"/>
      <c r="V115" s="348"/>
      <c r="W115" s="348"/>
      <c r="X115" s="348"/>
      <c r="Y115" s="348"/>
      <c r="Z115" s="348"/>
      <c r="AA115" s="348"/>
      <c r="AB115" s="354">
        <f t="shared" si="126"/>
        <v>109.86</v>
      </c>
      <c r="AC115" s="349">
        <f t="shared" si="126"/>
        <v>0</v>
      </c>
      <c r="AD115" s="349">
        <f>10.02</f>
        <v>10.02</v>
      </c>
      <c r="AE115" s="348"/>
      <c r="AF115" s="348"/>
      <c r="AG115" s="348"/>
      <c r="AH115" s="348"/>
      <c r="AI115" s="348"/>
      <c r="AJ115" s="348"/>
      <c r="AK115" s="348"/>
      <c r="AL115" s="354">
        <f t="shared" si="127"/>
        <v>10.02</v>
      </c>
      <c r="AM115" s="349">
        <f t="shared" si="127"/>
        <v>0</v>
      </c>
      <c r="AN115" s="354">
        <f>8.31</f>
        <v>8.31</v>
      </c>
      <c r="AO115" s="348"/>
      <c r="AP115" s="354">
        <f>40.76</f>
        <v>40.76</v>
      </c>
      <c r="AQ115" s="348"/>
      <c r="AR115" s="354">
        <f>7.01</f>
        <v>7.01</v>
      </c>
      <c r="AS115" s="348"/>
      <c r="AT115" s="352"/>
      <c r="AU115" s="348"/>
      <c r="AV115" s="354">
        <f t="shared" si="128"/>
        <v>7.01</v>
      </c>
      <c r="AW115" s="349">
        <f t="shared" si="128"/>
        <v>0</v>
      </c>
      <c r="AX115" s="349">
        <f>3.02</f>
        <v>3.02</v>
      </c>
      <c r="AY115" s="348"/>
      <c r="AZ115" s="349">
        <f>124.13</f>
        <v>124.13</v>
      </c>
      <c r="BA115" s="348"/>
      <c r="BB115" s="349">
        <f t="shared" si="129"/>
        <v>127.14999999999999</v>
      </c>
      <c r="BC115" s="349">
        <f t="shared" si="129"/>
        <v>0</v>
      </c>
      <c r="BD115" s="349">
        <f>1096.81</f>
        <v>1096.81</v>
      </c>
      <c r="BE115" s="348"/>
      <c r="BF115" s="348"/>
      <c r="BG115" s="348"/>
      <c r="BH115" s="349">
        <f t="shared" si="130"/>
        <v>1096.81</v>
      </c>
      <c r="BI115" s="349">
        <f t="shared" si="130"/>
        <v>0</v>
      </c>
      <c r="BJ115" s="348"/>
      <c r="BK115" s="348"/>
      <c r="BL115" s="349">
        <f t="shared" si="131"/>
        <v>2992.2200000000003</v>
      </c>
      <c r="BM115" s="349">
        <f t="shared" si="132"/>
        <v>0</v>
      </c>
    </row>
    <row r="116" spans="1:67" x14ac:dyDescent="0.25">
      <c r="A116" s="347" t="s">
        <v>107</v>
      </c>
      <c r="B116" s="354">
        <f>343.37</f>
        <v>343.37</v>
      </c>
      <c r="C116" s="349">
        <f>1000</f>
        <v>1000</v>
      </c>
      <c r="D116" s="348"/>
      <c r="E116" s="348"/>
      <c r="F116" s="352"/>
      <c r="G116" s="349">
        <f>55</f>
        <v>55</v>
      </c>
      <c r="H116" s="348"/>
      <c r="I116" s="348"/>
      <c r="J116" s="352"/>
      <c r="K116" s="348"/>
      <c r="L116" s="352"/>
      <c r="M116" s="348"/>
      <c r="N116" s="348"/>
      <c r="O116" s="349">
        <f>126</f>
        <v>126</v>
      </c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54">
        <f t="shared" si="126"/>
        <v>0</v>
      </c>
      <c r="AC116" s="349">
        <f t="shared" si="126"/>
        <v>126</v>
      </c>
      <c r="AD116" s="348"/>
      <c r="AE116" s="349">
        <f>86.9</f>
        <v>86.9</v>
      </c>
      <c r="AF116" s="348"/>
      <c r="AG116" s="348"/>
      <c r="AH116" s="348"/>
      <c r="AI116" s="348"/>
      <c r="AJ116" s="348"/>
      <c r="AK116" s="348"/>
      <c r="AL116" s="354">
        <f t="shared" si="127"/>
        <v>0</v>
      </c>
      <c r="AM116" s="349">
        <f t="shared" si="127"/>
        <v>86.9</v>
      </c>
      <c r="AN116" s="352"/>
      <c r="AO116" s="348"/>
      <c r="AP116" s="352"/>
      <c r="AQ116" s="348"/>
      <c r="AR116" s="352"/>
      <c r="AS116" s="348"/>
      <c r="AT116" s="352"/>
      <c r="AU116" s="348"/>
      <c r="AV116" s="354">
        <f t="shared" si="128"/>
        <v>0</v>
      </c>
      <c r="AW116" s="349">
        <f t="shared" si="128"/>
        <v>0</v>
      </c>
      <c r="AX116" s="348"/>
      <c r="AY116" s="348"/>
      <c r="AZ116" s="349">
        <f>88.57</f>
        <v>88.57</v>
      </c>
      <c r="BA116" s="348"/>
      <c r="BB116" s="349">
        <f t="shared" si="129"/>
        <v>88.57</v>
      </c>
      <c r="BC116" s="349">
        <f t="shared" si="129"/>
        <v>0</v>
      </c>
      <c r="BD116" s="349">
        <f>36.4</f>
        <v>36.4</v>
      </c>
      <c r="BE116" s="348"/>
      <c r="BF116" s="348"/>
      <c r="BG116" s="348"/>
      <c r="BH116" s="349">
        <f t="shared" si="130"/>
        <v>36.4</v>
      </c>
      <c r="BI116" s="349">
        <f t="shared" si="130"/>
        <v>0</v>
      </c>
      <c r="BJ116" s="348"/>
      <c r="BK116" s="348"/>
      <c r="BL116" s="349">
        <f t="shared" si="131"/>
        <v>468.34</v>
      </c>
      <c r="BM116" s="349">
        <f t="shared" si="132"/>
        <v>1267.9000000000001</v>
      </c>
    </row>
    <row r="117" spans="1:67" x14ac:dyDescent="0.25">
      <c r="A117" s="347" t="s">
        <v>738</v>
      </c>
      <c r="B117" s="354">
        <f>2000.88</f>
        <v>2000.88</v>
      </c>
      <c r="C117" s="349">
        <f>2500</f>
        <v>2500</v>
      </c>
      <c r="D117" s="349">
        <f>27.69</f>
        <v>27.69</v>
      </c>
      <c r="E117" s="349">
        <f>3160</f>
        <v>3160</v>
      </c>
      <c r="F117" s="354">
        <f>525</f>
        <v>525</v>
      </c>
      <c r="G117" s="348"/>
      <c r="H117" s="348"/>
      <c r="I117" s="348"/>
      <c r="J117" s="352"/>
      <c r="K117" s="348"/>
      <c r="L117" s="352"/>
      <c r="M117" s="348"/>
      <c r="N117" s="348"/>
      <c r="O117" s="349">
        <f>1080</f>
        <v>1080</v>
      </c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54">
        <f t="shared" si="126"/>
        <v>0</v>
      </c>
      <c r="AC117" s="349">
        <f t="shared" si="126"/>
        <v>1080</v>
      </c>
      <c r="AD117" s="348"/>
      <c r="AE117" s="349">
        <f>330</f>
        <v>330</v>
      </c>
      <c r="AF117" s="348"/>
      <c r="AG117" s="348"/>
      <c r="AH117" s="349">
        <f>104.11</f>
        <v>104.11</v>
      </c>
      <c r="AI117" s="348"/>
      <c r="AJ117" s="348"/>
      <c r="AK117" s="348"/>
      <c r="AL117" s="354">
        <f t="shared" si="127"/>
        <v>104.11</v>
      </c>
      <c r="AM117" s="349">
        <f t="shared" si="127"/>
        <v>330</v>
      </c>
      <c r="AN117" s="352"/>
      <c r="AO117" s="348"/>
      <c r="AP117" s="352"/>
      <c r="AQ117" s="348"/>
      <c r="AR117" s="352"/>
      <c r="AS117" s="348"/>
      <c r="AT117" s="352"/>
      <c r="AU117" s="348"/>
      <c r="AV117" s="354">
        <f t="shared" si="128"/>
        <v>0</v>
      </c>
      <c r="AW117" s="349">
        <f t="shared" si="128"/>
        <v>0</v>
      </c>
      <c r="AX117" s="348"/>
      <c r="AY117" s="348"/>
      <c r="AZ117" s="348"/>
      <c r="BA117" s="348"/>
      <c r="BB117" s="349">
        <f t="shared" si="129"/>
        <v>0</v>
      </c>
      <c r="BC117" s="349">
        <f t="shared" si="129"/>
        <v>0</v>
      </c>
      <c r="BD117" s="349">
        <f>317.24</f>
        <v>317.24</v>
      </c>
      <c r="BE117" s="348"/>
      <c r="BF117" s="348"/>
      <c r="BG117" s="348"/>
      <c r="BH117" s="349">
        <f t="shared" si="130"/>
        <v>317.24</v>
      </c>
      <c r="BI117" s="349">
        <f t="shared" si="130"/>
        <v>0</v>
      </c>
      <c r="BJ117" s="348"/>
      <c r="BK117" s="348"/>
      <c r="BL117" s="349">
        <f t="shared" si="131"/>
        <v>2974.92</v>
      </c>
      <c r="BM117" s="349">
        <f t="shared" si="132"/>
        <v>7070</v>
      </c>
    </row>
    <row r="118" spans="1:67" x14ac:dyDescent="0.25">
      <c r="A118" s="347" t="s">
        <v>109</v>
      </c>
      <c r="B118" s="353">
        <f t="shared" ref="B118:AA118" si="148">(((((B112)+(B113))+(B114))+(B115))+(B116))+(B117)</f>
        <v>6265.3300000000008</v>
      </c>
      <c r="C118" s="350">
        <f t="shared" si="148"/>
        <v>4000</v>
      </c>
      <c r="D118" s="350">
        <f t="shared" si="148"/>
        <v>174.32999999999998</v>
      </c>
      <c r="E118" s="350">
        <f t="shared" si="148"/>
        <v>4010</v>
      </c>
      <c r="F118" s="353">
        <f t="shared" si="148"/>
        <v>1723.62</v>
      </c>
      <c r="G118" s="350">
        <f t="shared" si="148"/>
        <v>3182.5</v>
      </c>
      <c r="H118" s="350">
        <f t="shared" si="148"/>
        <v>0</v>
      </c>
      <c r="I118" s="350">
        <f t="shared" si="148"/>
        <v>0</v>
      </c>
      <c r="J118" s="353">
        <f t="shared" si="148"/>
        <v>2565.1000000000004</v>
      </c>
      <c r="K118" s="350">
        <f t="shared" si="148"/>
        <v>0</v>
      </c>
      <c r="L118" s="353">
        <f t="shared" ref="L118" si="149">(((((L112)+(L113))+(L114))+(L115))+(L116))+(L117)</f>
        <v>2565.1000000000004</v>
      </c>
      <c r="M118" s="350">
        <f t="shared" ref="M118" si="150">(((((M112)+(M113))+(M114))+(M115))+(M116))+(M117)</f>
        <v>0</v>
      </c>
      <c r="N118" s="350">
        <f t="shared" si="148"/>
        <v>1049.57</v>
      </c>
      <c r="O118" s="350">
        <f t="shared" si="148"/>
        <v>7300.07</v>
      </c>
      <c r="P118" s="350">
        <f t="shared" si="148"/>
        <v>0</v>
      </c>
      <c r="Q118" s="350">
        <f t="shared" si="148"/>
        <v>0</v>
      </c>
      <c r="R118" s="350">
        <f t="shared" si="148"/>
        <v>0</v>
      </c>
      <c r="S118" s="350">
        <f t="shared" si="148"/>
        <v>0</v>
      </c>
      <c r="T118" s="350">
        <f t="shared" si="148"/>
        <v>0</v>
      </c>
      <c r="U118" s="350">
        <f t="shared" si="148"/>
        <v>0</v>
      </c>
      <c r="V118" s="350">
        <f t="shared" si="148"/>
        <v>0</v>
      </c>
      <c r="W118" s="350">
        <f t="shared" si="148"/>
        <v>0</v>
      </c>
      <c r="X118" s="350">
        <f t="shared" si="148"/>
        <v>0</v>
      </c>
      <c r="Y118" s="350">
        <f t="shared" si="148"/>
        <v>0</v>
      </c>
      <c r="Z118" s="350">
        <f t="shared" si="148"/>
        <v>0</v>
      </c>
      <c r="AA118" s="350">
        <f t="shared" si="148"/>
        <v>0</v>
      </c>
      <c r="AB118" s="353">
        <f t="shared" si="126"/>
        <v>1049.57</v>
      </c>
      <c r="AC118" s="350">
        <f t="shared" si="126"/>
        <v>7300.07</v>
      </c>
      <c r="AD118" s="350">
        <f t="shared" ref="AD118:AK118" si="151">(((((AD112)+(AD113))+(AD114))+(AD115))+(AD116))+(AD117)</f>
        <v>454.55999999999995</v>
      </c>
      <c r="AE118" s="350">
        <f t="shared" si="151"/>
        <v>1428.9</v>
      </c>
      <c r="AF118" s="350">
        <f t="shared" si="151"/>
        <v>0</v>
      </c>
      <c r="AG118" s="350">
        <f t="shared" si="151"/>
        <v>0</v>
      </c>
      <c r="AH118" s="350">
        <f t="shared" si="151"/>
        <v>104.11</v>
      </c>
      <c r="AI118" s="350">
        <f t="shared" si="151"/>
        <v>0</v>
      </c>
      <c r="AJ118" s="350">
        <f t="shared" si="151"/>
        <v>0</v>
      </c>
      <c r="AK118" s="350">
        <f t="shared" si="151"/>
        <v>0</v>
      </c>
      <c r="AL118" s="353">
        <f t="shared" si="127"/>
        <v>558.66999999999996</v>
      </c>
      <c r="AM118" s="350">
        <f t="shared" si="127"/>
        <v>1428.9</v>
      </c>
      <c r="AN118" s="353">
        <f t="shared" ref="AN118:AU118" si="152">(((((AN112)+(AN113))+(AN114))+(AN115))+(AN116))+(AN117)</f>
        <v>368.63</v>
      </c>
      <c r="AO118" s="350">
        <f t="shared" si="152"/>
        <v>13612.62</v>
      </c>
      <c r="AP118" s="353">
        <f t="shared" si="152"/>
        <v>538.69999999999993</v>
      </c>
      <c r="AQ118" s="350">
        <f t="shared" si="152"/>
        <v>0</v>
      </c>
      <c r="AR118" s="353">
        <f t="shared" si="152"/>
        <v>89.29</v>
      </c>
      <c r="AS118" s="350">
        <f t="shared" si="152"/>
        <v>0</v>
      </c>
      <c r="AT118" s="353">
        <f t="shared" si="152"/>
        <v>1.68</v>
      </c>
      <c r="AU118" s="350">
        <f t="shared" si="152"/>
        <v>0</v>
      </c>
      <c r="AV118" s="353">
        <f t="shared" si="128"/>
        <v>90.970000000000013</v>
      </c>
      <c r="AW118" s="350">
        <f t="shared" si="128"/>
        <v>0</v>
      </c>
      <c r="AX118" s="350">
        <f>(((((AX112)+(AX113))+(AX114))+(AX115))+(AX116))+(AX117)</f>
        <v>38.290000000000006</v>
      </c>
      <c r="AY118" s="350">
        <f>(((((AY112)+(AY113))+(AY114))+(AY115))+(AY116))+(AY117)</f>
        <v>0</v>
      </c>
      <c r="AZ118" s="350">
        <f>(((((AZ112)+(AZ113))+(AZ114))+(AZ115))+(AZ116))+(AZ117)</f>
        <v>819.07999999999993</v>
      </c>
      <c r="BA118" s="350">
        <f>(((((BA112)+(BA113))+(BA114))+(BA115))+(BA116))+(BA117)</f>
        <v>1000</v>
      </c>
      <c r="BB118" s="350">
        <f t="shared" si="129"/>
        <v>857.36999999999989</v>
      </c>
      <c r="BC118" s="350">
        <f t="shared" si="129"/>
        <v>1000</v>
      </c>
      <c r="BD118" s="350">
        <f>(((((BD112)+(BD113))+(BD114))+(BD115))+(BD116))+(BD117)</f>
        <v>1586.3600000000001</v>
      </c>
      <c r="BE118" s="350">
        <f>(((((BE112)+(BE113))+(BE114))+(BE115))+(BE116))+(BE117)</f>
        <v>0</v>
      </c>
      <c r="BF118" s="350">
        <f>(((((BF112)+(BF113))+(BF114))+(BF115))+(BF116))+(BF117)</f>
        <v>0</v>
      </c>
      <c r="BG118" s="350">
        <f>(((((BG112)+(BG113))+(BG114))+(BG115))+(BG116))+(BG117)</f>
        <v>0</v>
      </c>
      <c r="BH118" s="350">
        <f t="shared" si="130"/>
        <v>1586.3600000000001</v>
      </c>
      <c r="BI118" s="350">
        <f t="shared" si="130"/>
        <v>0</v>
      </c>
      <c r="BJ118" s="350">
        <f>(((((BJ112)+(BJ113))+(BJ114))+(BJ115))+(BJ116))+(BJ117)</f>
        <v>0</v>
      </c>
      <c r="BK118" s="350">
        <f>(((((BK112)+(BK113))+(BK114))+(BK115))+(BK116))+(BK117)</f>
        <v>0</v>
      </c>
      <c r="BL118" s="350">
        <f t="shared" si="131"/>
        <v>15778.650000000001</v>
      </c>
      <c r="BM118" s="350">
        <f t="shared" si="132"/>
        <v>34534.090000000004</v>
      </c>
    </row>
    <row r="119" spans="1:67" x14ac:dyDescent="0.25">
      <c r="A119" s="347" t="s">
        <v>110</v>
      </c>
      <c r="B119" s="352"/>
      <c r="C119" s="348"/>
      <c r="D119" s="348"/>
      <c r="E119" s="348"/>
      <c r="F119" s="352"/>
      <c r="G119" s="348"/>
      <c r="H119" s="348"/>
      <c r="I119" s="348"/>
      <c r="J119" s="354">
        <f>17.5</f>
        <v>17.5</v>
      </c>
      <c r="K119" s="348"/>
      <c r="L119" s="354">
        <f>17.5</f>
        <v>17.5</v>
      </c>
      <c r="M119" s="348"/>
      <c r="N119" s="348"/>
      <c r="O119" s="348"/>
      <c r="P119" s="348"/>
      <c r="Q119" s="348"/>
      <c r="R119" s="348"/>
      <c r="S119" s="348"/>
      <c r="T119" s="348"/>
      <c r="U119" s="348"/>
      <c r="V119" s="348"/>
      <c r="W119" s="348"/>
      <c r="X119" s="348"/>
      <c r="Y119" s="348"/>
      <c r="Z119" s="348"/>
      <c r="AA119" s="348"/>
      <c r="AB119" s="354">
        <f t="shared" si="126"/>
        <v>0</v>
      </c>
      <c r="AC119" s="349">
        <f t="shared" si="126"/>
        <v>0</v>
      </c>
      <c r="AD119" s="348"/>
      <c r="AE119" s="348"/>
      <c r="AF119" s="348"/>
      <c r="AG119" s="348"/>
      <c r="AH119" s="348"/>
      <c r="AI119" s="348"/>
      <c r="AJ119" s="348"/>
      <c r="AK119" s="348"/>
      <c r="AL119" s="354">
        <f t="shared" si="127"/>
        <v>0</v>
      </c>
      <c r="AM119" s="349">
        <f t="shared" si="127"/>
        <v>0</v>
      </c>
      <c r="AN119" s="352"/>
      <c r="AO119" s="348"/>
      <c r="AP119" s="354">
        <f>17.5</f>
        <v>17.5</v>
      </c>
      <c r="AQ119" s="348"/>
      <c r="AR119" s="352"/>
      <c r="AS119" s="348"/>
      <c r="AT119" s="352"/>
      <c r="AU119" s="348"/>
      <c r="AV119" s="354">
        <f t="shared" si="128"/>
        <v>0</v>
      </c>
      <c r="AW119" s="349">
        <f t="shared" si="128"/>
        <v>0</v>
      </c>
      <c r="AX119" s="348"/>
      <c r="AY119" s="348"/>
      <c r="AZ119" s="348"/>
      <c r="BA119" s="348"/>
      <c r="BB119" s="349">
        <f t="shared" si="129"/>
        <v>0</v>
      </c>
      <c r="BC119" s="349">
        <f t="shared" si="129"/>
        <v>0</v>
      </c>
      <c r="BD119" s="349">
        <f>103.5</f>
        <v>103.5</v>
      </c>
      <c r="BE119" s="348"/>
      <c r="BF119" s="348"/>
      <c r="BG119" s="348"/>
      <c r="BH119" s="349">
        <f t="shared" si="130"/>
        <v>103.5</v>
      </c>
      <c r="BI119" s="349">
        <f t="shared" si="130"/>
        <v>0</v>
      </c>
      <c r="BJ119" s="348"/>
      <c r="BK119" s="348"/>
      <c r="BL119" s="349">
        <f t="shared" si="131"/>
        <v>138.5</v>
      </c>
      <c r="BM119" s="349">
        <f t="shared" si="132"/>
        <v>0</v>
      </c>
    </row>
    <row r="120" spans="1:67" x14ac:dyDescent="0.25">
      <c r="A120" s="347" t="s">
        <v>111</v>
      </c>
      <c r="B120" s="354">
        <f>-500</f>
        <v>-500</v>
      </c>
      <c r="C120" s="348"/>
      <c r="D120" s="348"/>
      <c r="E120" s="348"/>
      <c r="F120" s="352"/>
      <c r="G120" s="348"/>
      <c r="H120" s="348"/>
      <c r="I120" s="348"/>
      <c r="J120" s="352"/>
      <c r="K120" s="348"/>
      <c r="L120" s="352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54">
        <f t="shared" si="126"/>
        <v>0</v>
      </c>
      <c r="AC120" s="349">
        <f t="shared" si="126"/>
        <v>0</v>
      </c>
      <c r="AD120" s="348"/>
      <c r="AE120" s="348"/>
      <c r="AF120" s="348"/>
      <c r="AG120" s="348"/>
      <c r="AH120" s="348"/>
      <c r="AI120" s="348"/>
      <c r="AJ120" s="348"/>
      <c r="AK120" s="348"/>
      <c r="AL120" s="354">
        <f t="shared" si="127"/>
        <v>0</v>
      </c>
      <c r="AM120" s="349">
        <f t="shared" si="127"/>
        <v>0</v>
      </c>
      <c r="AN120" s="352"/>
      <c r="AO120" s="348"/>
      <c r="AP120" s="352"/>
      <c r="AQ120" s="348"/>
      <c r="AR120" s="352"/>
      <c r="AS120" s="348"/>
      <c r="AT120" s="352"/>
      <c r="AU120" s="348"/>
      <c r="AV120" s="354">
        <f t="shared" si="128"/>
        <v>0</v>
      </c>
      <c r="AW120" s="349">
        <f t="shared" si="128"/>
        <v>0</v>
      </c>
      <c r="AX120" s="348"/>
      <c r="AY120" s="348"/>
      <c r="AZ120" s="348"/>
      <c r="BA120" s="348"/>
      <c r="BB120" s="349">
        <f t="shared" si="129"/>
        <v>0</v>
      </c>
      <c r="BC120" s="349">
        <f t="shared" si="129"/>
        <v>0</v>
      </c>
      <c r="BD120" s="348"/>
      <c r="BE120" s="348"/>
      <c r="BF120" s="348"/>
      <c r="BG120" s="348"/>
      <c r="BH120" s="349">
        <f t="shared" si="130"/>
        <v>0</v>
      </c>
      <c r="BI120" s="349">
        <f t="shared" si="130"/>
        <v>0</v>
      </c>
      <c r="BJ120" s="349">
        <f>0</f>
        <v>0</v>
      </c>
      <c r="BK120" s="348"/>
      <c r="BL120" s="349">
        <f t="shared" si="131"/>
        <v>-500</v>
      </c>
      <c r="BM120" s="349">
        <f t="shared" si="132"/>
        <v>0</v>
      </c>
    </row>
    <row r="121" spans="1:67" x14ac:dyDescent="0.25">
      <c r="A121" s="347" t="s">
        <v>112</v>
      </c>
      <c r="B121" s="354">
        <f>5712.36</f>
        <v>5712.36</v>
      </c>
      <c r="C121" s="349">
        <f>12000</f>
        <v>12000</v>
      </c>
      <c r="D121" s="349">
        <f>3484.44</f>
        <v>3484.44</v>
      </c>
      <c r="E121" s="349">
        <f>2065.56</f>
        <v>2065.56</v>
      </c>
      <c r="F121" s="354">
        <f>6870.75</f>
        <v>6870.75</v>
      </c>
      <c r="G121" s="349">
        <f>7485.35</f>
        <v>7485.35</v>
      </c>
      <c r="H121" s="348"/>
      <c r="I121" s="348"/>
      <c r="J121" s="354">
        <f>3349.18</f>
        <v>3349.18</v>
      </c>
      <c r="K121" s="348"/>
      <c r="L121" s="354">
        <f>3349.18</f>
        <v>3349.18</v>
      </c>
      <c r="M121" s="348"/>
      <c r="N121" s="349">
        <f>9699.05</f>
        <v>9699.0499999999993</v>
      </c>
      <c r="O121" s="349">
        <f>11232</f>
        <v>11232</v>
      </c>
      <c r="P121" s="348"/>
      <c r="Q121" s="348"/>
      <c r="R121" s="348"/>
      <c r="S121" s="348"/>
      <c r="T121" s="349">
        <f>504.38</f>
        <v>504.38</v>
      </c>
      <c r="U121" s="348"/>
      <c r="V121" s="349">
        <f>500</f>
        <v>500</v>
      </c>
      <c r="W121" s="348"/>
      <c r="X121" s="348"/>
      <c r="Y121" s="348"/>
      <c r="Z121" s="349">
        <f>600</f>
        <v>600</v>
      </c>
      <c r="AA121" s="348"/>
      <c r="AB121" s="354">
        <f t="shared" si="126"/>
        <v>11303.429999999998</v>
      </c>
      <c r="AC121" s="349">
        <f t="shared" si="126"/>
        <v>11232</v>
      </c>
      <c r="AD121" s="349">
        <f>6163</f>
        <v>6163</v>
      </c>
      <c r="AE121" s="349">
        <f>2801.7</f>
        <v>2801.7</v>
      </c>
      <c r="AF121" s="348"/>
      <c r="AG121" s="348"/>
      <c r="AH121" s="349">
        <f>600</f>
        <v>600</v>
      </c>
      <c r="AI121" s="348"/>
      <c r="AJ121" s="348"/>
      <c r="AK121" s="348"/>
      <c r="AL121" s="354">
        <f t="shared" si="127"/>
        <v>6763</v>
      </c>
      <c r="AM121" s="349">
        <f t="shared" si="127"/>
        <v>2801.7</v>
      </c>
      <c r="AN121" s="354">
        <f>3816.35</f>
        <v>3816.35</v>
      </c>
      <c r="AO121" s="349">
        <f>4709.03</f>
        <v>4709.03</v>
      </c>
      <c r="AP121" s="354">
        <f>304.55</f>
        <v>304.55</v>
      </c>
      <c r="AQ121" s="348"/>
      <c r="AR121" s="354">
        <f>91</f>
        <v>91</v>
      </c>
      <c r="AS121" s="348"/>
      <c r="AT121" s="352"/>
      <c r="AU121" s="348"/>
      <c r="AV121" s="354">
        <f t="shared" si="128"/>
        <v>91</v>
      </c>
      <c r="AW121" s="349">
        <f t="shared" si="128"/>
        <v>0</v>
      </c>
      <c r="AX121" s="349">
        <f>104</f>
        <v>104</v>
      </c>
      <c r="AY121" s="348"/>
      <c r="AZ121" s="349">
        <f>76.55</f>
        <v>76.55</v>
      </c>
      <c r="BA121" s="348"/>
      <c r="BB121" s="349">
        <f t="shared" si="129"/>
        <v>180.55</v>
      </c>
      <c r="BC121" s="349">
        <f t="shared" si="129"/>
        <v>0</v>
      </c>
      <c r="BD121" s="348"/>
      <c r="BE121" s="348"/>
      <c r="BF121" s="348"/>
      <c r="BG121" s="348"/>
      <c r="BH121" s="349">
        <f t="shared" si="130"/>
        <v>0</v>
      </c>
      <c r="BI121" s="349">
        <f t="shared" si="130"/>
        <v>0</v>
      </c>
      <c r="BJ121" s="348"/>
      <c r="BK121" s="348"/>
      <c r="BL121" s="349">
        <f t="shared" si="131"/>
        <v>41875.61</v>
      </c>
      <c r="BM121" s="349">
        <f t="shared" si="132"/>
        <v>40293.64</v>
      </c>
      <c r="BO121">
        <f>BM121*0.14</f>
        <v>5641.1096000000007</v>
      </c>
    </row>
    <row r="122" spans="1:67" x14ac:dyDescent="0.25">
      <c r="A122" s="347" t="s">
        <v>113</v>
      </c>
      <c r="B122" s="354">
        <f>1119.79</f>
        <v>1119.79</v>
      </c>
      <c r="C122" s="348"/>
      <c r="D122" s="348"/>
      <c r="E122" s="348"/>
      <c r="F122" s="354">
        <f>1492.18</f>
        <v>1492.18</v>
      </c>
      <c r="G122" s="349">
        <f>1284</f>
        <v>1284</v>
      </c>
      <c r="H122" s="349">
        <f>1031.69</f>
        <v>1031.69</v>
      </c>
      <c r="I122" s="348"/>
      <c r="J122" s="354">
        <f>548.2</f>
        <v>548.20000000000005</v>
      </c>
      <c r="K122" s="348"/>
      <c r="L122" s="354">
        <f>548.2</f>
        <v>548.20000000000005</v>
      </c>
      <c r="M122" s="348"/>
      <c r="N122" s="349">
        <f>2163.44</f>
        <v>2163.44</v>
      </c>
      <c r="O122" s="349">
        <f>3060</f>
        <v>3060</v>
      </c>
      <c r="P122" s="348"/>
      <c r="Q122" s="348"/>
      <c r="R122" s="348"/>
      <c r="S122" s="348"/>
      <c r="T122" s="348"/>
      <c r="U122" s="348"/>
      <c r="V122" s="348"/>
      <c r="W122" s="348"/>
      <c r="X122" s="348"/>
      <c r="Y122" s="348"/>
      <c r="Z122" s="348"/>
      <c r="AA122" s="348"/>
      <c r="AB122" s="354">
        <f t="shared" si="126"/>
        <v>2163.44</v>
      </c>
      <c r="AC122" s="349">
        <f t="shared" si="126"/>
        <v>3060</v>
      </c>
      <c r="AD122" s="349">
        <f>928.01</f>
        <v>928.01</v>
      </c>
      <c r="AE122" s="349">
        <f>2046</f>
        <v>2046</v>
      </c>
      <c r="AF122" s="348"/>
      <c r="AG122" s="348"/>
      <c r="AH122" s="348"/>
      <c r="AI122" s="348"/>
      <c r="AJ122" s="348"/>
      <c r="AK122" s="348"/>
      <c r="AL122" s="354">
        <f t="shared" si="127"/>
        <v>928.01</v>
      </c>
      <c r="AM122" s="349">
        <f t="shared" si="127"/>
        <v>2046</v>
      </c>
      <c r="AN122" s="354">
        <f>668.79</f>
        <v>668.79</v>
      </c>
      <c r="AO122" s="348"/>
      <c r="AP122" s="354">
        <f>302.53</f>
        <v>302.52999999999997</v>
      </c>
      <c r="AQ122" s="348"/>
      <c r="AR122" s="354">
        <f>146.24</f>
        <v>146.24</v>
      </c>
      <c r="AS122" s="348"/>
      <c r="AT122" s="352"/>
      <c r="AU122" s="348"/>
      <c r="AV122" s="354">
        <f t="shared" si="128"/>
        <v>146.24</v>
      </c>
      <c r="AW122" s="349">
        <f t="shared" si="128"/>
        <v>0</v>
      </c>
      <c r="AX122" s="349">
        <f>118.82</f>
        <v>118.82</v>
      </c>
      <c r="AY122" s="348"/>
      <c r="AZ122" s="349">
        <f>56.68</f>
        <v>56.68</v>
      </c>
      <c r="BA122" s="348"/>
      <c r="BB122" s="349">
        <f t="shared" si="129"/>
        <v>175.5</v>
      </c>
      <c r="BC122" s="349">
        <f t="shared" si="129"/>
        <v>0</v>
      </c>
      <c r="BD122" s="348"/>
      <c r="BE122" s="348"/>
      <c r="BF122" s="348"/>
      <c r="BG122" s="348"/>
      <c r="BH122" s="349">
        <f t="shared" si="130"/>
        <v>0</v>
      </c>
      <c r="BI122" s="349">
        <f t="shared" si="130"/>
        <v>0</v>
      </c>
      <c r="BJ122" s="348"/>
      <c r="BK122" s="348"/>
      <c r="BL122" s="349">
        <f t="shared" si="131"/>
        <v>8576.3700000000008</v>
      </c>
      <c r="BM122" s="349">
        <f t="shared" si="132"/>
        <v>6390</v>
      </c>
      <c r="BO122">
        <f t="shared" ref="BO122:BO123" si="153">BM122*0.14</f>
        <v>894.60000000000014</v>
      </c>
    </row>
    <row r="123" spans="1:67" x14ac:dyDescent="0.25">
      <c r="A123" s="347" t="s">
        <v>114</v>
      </c>
      <c r="B123" s="354">
        <f>636.03</f>
        <v>636.03</v>
      </c>
      <c r="C123" s="349">
        <f>1200</f>
        <v>1200</v>
      </c>
      <c r="D123" s="349">
        <f>1015.41</f>
        <v>1015.41</v>
      </c>
      <c r="E123" s="349">
        <f>496.08</f>
        <v>496.08</v>
      </c>
      <c r="F123" s="354">
        <f>795.45</f>
        <v>795.45</v>
      </c>
      <c r="G123" s="349">
        <f>570</f>
        <v>570</v>
      </c>
      <c r="H123" s="348"/>
      <c r="I123" s="348"/>
      <c r="J123" s="354">
        <f>538.77</f>
        <v>538.77</v>
      </c>
      <c r="K123" s="348"/>
      <c r="L123" s="354">
        <f>538.77</f>
        <v>538.77</v>
      </c>
      <c r="M123" s="348"/>
      <c r="N123" s="349">
        <f>1149.66</f>
        <v>1149.6600000000001</v>
      </c>
      <c r="O123" s="349">
        <f>1296</f>
        <v>1296</v>
      </c>
      <c r="P123" s="348"/>
      <c r="Q123" s="348"/>
      <c r="R123" s="348"/>
      <c r="S123" s="348"/>
      <c r="T123" s="348"/>
      <c r="U123" s="348"/>
      <c r="V123" s="348"/>
      <c r="W123" s="348"/>
      <c r="X123" s="348"/>
      <c r="Y123" s="348"/>
      <c r="Z123" s="348"/>
      <c r="AA123" s="348"/>
      <c r="AB123" s="354">
        <f t="shared" si="126"/>
        <v>1149.6600000000001</v>
      </c>
      <c r="AC123" s="349">
        <f t="shared" si="126"/>
        <v>1296</v>
      </c>
      <c r="AD123" s="349">
        <f>522.53</f>
        <v>522.53</v>
      </c>
      <c r="AE123" s="349">
        <f>330</f>
        <v>330</v>
      </c>
      <c r="AF123" s="348"/>
      <c r="AG123" s="348"/>
      <c r="AH123" s="348"/>
      <c r="AI123" s="348"/>
      <c r="AJ123" s="348"/>
      <c r="AK123" s="348"/>
      <c r="AL123" s="354">
        <f t="shared" si="127"/>
        <v>522.53</v>
      </c>
      <c r="AM123" s="349">
        <f t="shared" si="127"/>
        <v>330</v>
      </c>
      <c r="AN123" s="354">
        <f>359.13</f>
        <v>359.13</v>
      </c>
      <c r="AO123" s="348"/>
      <c r="AP123" s="354">
        <f>194.43</f>
        <v>194.43</v>
      </c>
      <c r="AQ123" s="348"/>
      <c r="AR123" s="354">
        <f>126.35</f>
        <v>126.35</v>
      </c>
      <c r="AS123" s="348"/>
      <c r="AT123" s="352"/>
      <c r="AU123" s="348"/>
      <c r="AV123" s="354">
        <f t="shared" si="128"/>
        <v>126.35</v>
      </c>
      <c r="AW123" s="349">
        <f t="shared" si="128"/>
        <v>0</v>
      </c>
      <c r="AX123" s="349">
        <f>67.64</f>
        <v>67.64</v>
      </c>
      <c r="AY123" s="348"/>
      <c r="AZ123" s="349">
        <f>54.59</f>
        <v>54.59</v>
      </c>
      <c r="BA123" s="348"/>
      <c r="BB123" s="349">
        <f t="shared" si="129"/>
        <v>122.23</v>
      </c>
      <c r="BC123" s="349">
        <f t="shared" si="129"/>
        <v>0</v>
      </c>
      <c r="BD123" s="348"/>
      <c r="BE123" s="348"/>
      <c r="BF123" s="348"/>
      <c r="BG123" s="348"/>
      <c r="BH123" s="349">
        <f t="shared" si="130"/>
        <v>0</v>
      </c>
      <c r="BI123" s="349">
        <f t="shared" si="130"/>
        <v>0</v>
      </c>
      <c r="BJ123" s="348"/>
      <c r="BK123" s="348"/>
      <c r="BL123" s="349">
        <f t="shared" si="131"/>
        <v>5459.9900000000007</v>
      </c>
      <c r="BM123" s="349">
        <f t="shared" si="132"/>
        <v>3892.08</v>
      </c>
      <c r="BO123">
        <f t="shared" si="153"/>
        <v>544.89120000000003</v>
      </c>
    </row>
    <row r="124" spans="1:67" x14ac:dyDescent="0.25">
      <c r="A124" s="347" t="s">
        <v>115</v>
      </c>
      <c r="B124" s="353">
        <f t="shared" ref="B124:AA124" si="154">((B121)+(B122))+(B123)</f>
        <v>7468.1799999999994</v>
      </c>
      <c r="C124" s="350">
        <f t="shared" si="154"/>
        <v>13200</v>
      </c>
      <c r="D124" s="350">
        <f t="shared" si="154"/>
        <v>4499.8500000000004</v>
      </c>
      <c r="E124" s="350">
        <f t="shared" si="154"/>
        <v>2561.64</v>
      </c>
      <c r="F124" s="353">
        <f t="shared" si="154"/>
        <v>9158.380000000001</v>
      </c>
      <c r="G124" s="350">
        <f t="shared" si="154"/>
        <v>9339.35</v>
      </c>
      <c r="H124" s="350">
        <f t="shared" si="154"/>
        <v>1031.69</v>
      </c>
      <c r="I124" s="350">
        <f t="shared" si="154"/>
        <v>0</v>
      </c>
      <c r="J124" s="353">
        <f t="shared" si="154"/>
        <v>4436.1499999999996</v>
      </c>
      <c r="K124" s="350">
        <f t="shared" si="154"/>
        <v>0</v>
      </c>
      <c r="L124" s="353">
        <f t="shared" ref="L124" si="155">((L121)+(L122))+(L123)</f>
        <v>4436.1499999999996</v>
      </c>
      <c r="M124" s="350">
        <f t="shared" ref="M124" si="156">((M121)+(M122))+(M123)</f>
        <v>0</v>
      </c>
      <c r="N124" s="350">
        <f t="shared" si="154"/>
        <v>13012.15</v>
      </c>
      <c r="O124" s="350">
        <f t="shared" si="154"/>
        <v>15588</v>
      </c>
      <c r="P124" s="350">
        <f t="shared" si="154"/>
        <v>0</v>
      </c>
      <c r="Q124" s="350">
        <f t="shared" si="154"/>
        <v>0</v>
      </c>
      <c r="R124" s="350">
        <f t="shared" si="154"/>
        <v>0</v>
      </c>
      <c r="S124" s="350">
        <f t="shared" si="154"/>
        <v>0</v>
      </c>
      <c r="T124" s="350">
        <f t="shared" si="154"/>
        <v>504.38</v>
      </c>
      <c r="U124" s="350">
        <f t="shared" si="154"/>
        <v>0</v>
      </c>
      <c r="V124" s="350">
        <f t="shared" si="154"/>
        <v>500</v>
      </c>
      <c r="W124" s="350">
        <f t="shared" si="154"/>
        <v>0</v>
      </c>
      <c r="X124" s="350">
        <f t="shared" si="154"/>
        <v>0</v>
      </c>
      <c r="Y124" s="350">
        <f t="shared" si="154"/>
        <v>0</v>
      </c>
      <c r="Z124" s="350">
        <f t="shared" si="154"/>
        <v>600</v>
      </c>
      <c r="AA124" s="350">
        <f t="shared" si="154"/>
        <v>0</v>
      </c>
      <c r="AB124" s="353">
        <f t="shared" si="126"/>
        <v>14616.529999999999</v>
      </c>
      <c r="AC124" s="350">
        <f t="shared" si="126"/>
        <v>15588</v>
      </c>
      <c r="AD124" s="350">
        <f t="shared" ref="AD124:AK124" si="157">((AD121)+(AD122))+(AD123)</f>
        <v>7613.54</v>
      </c>
      <c r="AE124" s="350">
        <f t="shared" si="157"/>
        <v>5177.7</v>
      </c>
      <c r="AF124" s="350">
        <f t="shared" si="157"/>
        <v>0</v>
      </c>
      <c r="AG124" s="350">
        <f t="shared" si="157"/>
        <v>0</v>
      </c>
      <c r="AH124" s="350">
        <f t="shared" si="157"/>
        <v>600</v>
      </c>
      <c r="AI124" s="350">
        <f t="shared" si="157"/>
        <v>0</v>
      </c>
      <c r="AJ124" s="350">
        <f t="shared" si="157"/>
        <v>0</v>
      </c>
      <c r="AK124" s="350">
        <f t="shared" si="157"/>
        <v>0</v>
      </c>
      <c r="AL124" s="353">
        <f t="shared" si="127"/>
        <v>8213.5400000000009</v>
      </c>
      <c r="AM124" s="350">
        <f t="shared" si="127"/>
        <v>5177.7</v>
      </c>
      <c r="AN124" s="353">
        <f t="shared" ref="AN124:AU124" si="158">((AN121)+(AN122))+(AN123)</f>
        <v>4844.2699999999995</v>
      </c>
      <c r="AO124" s="350">
        <f t="shared" si="158"/>
        <v>4709.03</v>
      </c>
      <c r="AP124" s="353">
        <f t="shared" si="158"/>
        <v>801.51</v>
      </c>
      <c r="AQ124" s="350">
        <f t="shared" si="158"/>
        <v>0</v>
      </c>
      <c r="AR124" s="353">
        <f t="shared" si="158"/>
        <v>363.59000000000003</v>
      </c>
      <c r="AS124" s="350">
        <f t="shared" si="158"/>
        <v>0</v>
      </c>
      <c r="AT124" s="353">
        <f t="shared" si="158"/>
        <v>0</v>
      </c>
      <c r="AU124" s="350">
        <f t="shared" si="158"/>
        <v>0</v>
      </c>
      <c r="AV124" s="353">
        <f t="shared" si="128"/>
        <v>363.59000000000003</v>
      </c>
      <c r="AW124" s="350">
        <f t="shared" si="128"/>
        <v>0</v>
      </c>
      <c r="AX124" s="350">
        <f>((AX121)+(AX122))+(AX123)</f>
        <v>290.45999999999998</v>
      </c>
      <c r="AY124" s="350">
        <f>((AY121)+(AY122))+(AY123)</f>
        <v>0</v>
      </c>
      <c r="AZ124" s="350">
        <f>((AZ121)+(AZ122))+(AZ123)</f>
        <v>187.82</v>
      </c>
      <c r="BA124" s="350">
        <f>((BA121)+(BA122))+(BA123)</f>
        <v>0</v>
      </c>
      <c r="BB124" s="350">
        <f t="shared" si="129"/>
        <v>478.28</v>
      </c>
      <c r="BC124" s="350">
        <f t="shared" si="129"/>
        <v>0</v>
      </c>
      <c r="BD124" s="350">
        <f>((BD121)+(BD122))+(BD123)</f>
        <v>0</v>
      </c>
      <c r="BE124" s="350">
        <f>((BE121)+(BE122))+(BE123)</f>
        <v>0</v>
      </c>
      <c r="BF124" s="350">
        <f>((BF121)+(BF122))+(BF123)</f>
        <v>0</v>
      </c>
      <c r="BG124" s="350">
        <f>((BG121)+(BG122))+(BG123)</f>
        <v>0</v>
      </c>
      <c r="BH124" s="350">
        <f t="shared" si="130"/>
        <v>0</v>
      </c>
      <c r="BI124" s="350">
        <f t="shared" si="130"/>
        <v>0</v>
      </c>
      <c r="BJ124" s="350">
        <f>((BJ121)+(BJ122))+(BJ123)</f>
        <v>0</v>
      </c>
      <c r="BK124" s="350">
        <f>((BK121)+(BK122))+(BK123)</f>
        <v>0</v>
      </c>
      <c r="BL124" s="350">
        <f t="shared" si="131"/>
        <v>55911.969999999994</v>
      </c>
      <c r="BM124" s="350">
        <f t="shared" si="132"/>
        <v>50575.719999999994</v>
      </c>
    </row>
    <row r="125" spans="1:67" x14ac:dyDescent="0.25">
      <c r="A125" s="347" t="s">
        <v>127</v>
      </c>
      <c r="B125" s="352"/>
      <c r="C125" s="348"/>
      <c r="D125" s="348"/>
      <c r="E125" s="348"/>
      <c r="F125" s="352"/>
      <c r="G125" s="348"/>
      <c r="H125" s="348"/>
      <c r="I125" s="348"/>
      <c r="J125" s="352"/>
      <c r="K125" s="348"/>
      <c r="L125" s="352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8"/>
      <c r="X125" s="348"/>
      <c r="Y125" s="348"/>
      <c r="Z125" s="348"/>
      <c r="AA125" s="348"/>
      <c r="AB125" s="354">
        <f t="shared" si="126"/>
        <v>0</v>
      </c>
      <c r="AC125" s="349">
        <f t="shared" si="126"/>
        <v>0</v>
      </c>
      <c r="AD125" s="348"/>
      <c r="AE125" s="348"/>
      <c r="AF125" s="348"/>
      <c r="AG125" s="348"/>
      <c r="AH125" s="348"/>
      <c r="AI125" s="348"/>
      <c r="AJ125" s="348"/>
      <c r="AK125" s="348"/>
      <c r="AL125" s="354">
        <f t="shared" si="127"/>
        <v>0</v>
      </c>
      <c r="AM125" s="349">
        <f t="shared" si="127"/>
        <v>0</v>
      </c>
      <c r="AN125" s="352"/>
      <c r="AO125" s="348"/>
      <c r="AP125" s="352"/>
      <c r="AQ125" s="348"/>
      <c r="AR125" s="352"/>
      <c r="AS125" s="348"/>
      <c r="AT125" s="352"/>
      <c r="AU125" s="348"/>
      <c r="AV125" s="354">
        <f t="shared" si="128"/>
        <v>0</v>
      </c>
      <c r="AW125" s="349">
        <f t="shared" si="128"/>
        <v>0</v>
      </c>
      <c r="AX125" s="348"/>
      <c r="AY125" s="348"/>
      <c r="AZ125" s="348"/>
      <c r="BA125" s="348"/>
      <c r="BB125" s="349">
        <f t="shared" si="129"/>
        <v>0</v>
      </c>
      <c r="BC125" s="349">
        <f t="shared" si="129"/>
        <v>0</v>
      </c>
      <c r="BD125" s="348"/>
      <c r="BE125" s="348"/>
      <c r="BF125" s="348"/>
      <c r="BG125" s="348"/>
      <c r="BH125" s="349">
        <f t="shared" si="130"/>
        <v>0</v>
      </c>
      <c r="BI125" s="349">
        <f t="shared" si="130"/>
        <v>0</v>
      </c>
      <c r="BJ125" s="348"/>
      <c r="BK125" s="348"/>
      <c r="BL125" s="349">
        <f t="shared" si="131"/>
        <v>0</v>
      </c>
      <c r="BM125" s="349">
        <f t="shared" si="132"/>
        <v>0</v>
      </c>
    </row>
    <row r="126" spans="1:67" x14ac:dyDescent="0.25">
      <c r="A126" s="347" t="s">
        <v>128</v>
      </c>
      <c r="B126" s="352"/>
      <c r="C126" s="348"/>
      <c r="D126" s="348"/>
      <c r="E126" s="348"/>
      <c r="F126" s="352"/>
      <c r="G126" s="348"/>
      <c r="H126" s="348"/>
      <c r="I126" s="348"/>
      <c r="J126" s="352"/>
      <c r="K126" s="348"/>
      <c r="L126" s="352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8"/>
      <c r="X126" s="348"/>
      <c r="Y126" s="348"/>
      <c r="Z126" s="348"/>
      <c r="AA126" s="348"/>
      <c r="AB126" s="354">
        <f t="shared" si="126"/>
        <v>0</v>
      </c>
      <c r="AC126" s="349">
        <f t="shared" si="126"/>
        <v>0</v>
      </c>
      <c r="AD126" s="348"/>
      <c r="AE126" s="348"/>
      <c r="AF126" s="348"/>
      <c r="AG126" s="348"/>
      <c r="AH126" s="348"/>
      <c r="AI126" s="348"/>
      <c r="AJ126" s="348"/>
      <c r="AK126" s="348"/>
      <c r="AL126" s="354">
        <f t="shared" si="127"/>
        <v>0</v>
      </c>
      <c r="AM126" s="349">
        <f t="shared" si="127"/>
        <v>0</v>
      </c>
      <c r="AN126" s="352"/>
      <c r="AO126" s="348"/>
      <c r="AP126" s="352"/>
      <c r="AQ126" s="348"/>
      <c r="AR126" s="352"/>
      <c r="AS126" s="348"/>
      <c r="AT126" s="352"/>
      <c r="AU126" s="348"/>
      <c r="AV126" s="354">
        <f t="shared" si="128"/>
        <v>0</v>
      </c>
      <c r="AW126" s="349">
        <f t="shared" si="128"/>
        <v>0</v>
      </c>
      <c r="AX126" s="348"/>
      <c r="AY126" s="348"/>
      <c r="AZ126" s="348"/>
      <c r="BA126" s="348"/>
      <c r="BB126" s="349">
        <f t="shared" si="129"/>
        <v>0</v>
      </c>
      <c r="BC126" s="349">
        <f t="shared" si="129"/>
        <v>0</v>
      </c>
      <c r="BD126" s="348"/>
      <c r="BE126" s="348"/>
      <c r="BF126" s="348"/>
      <c r="BG126" s="348"/>
      <c r="BH126" s="349">
        <f t="shared" si="130"/>
        <v>0</v>
      </c>
      <c r="BI126" s="349">
        <f t="shared" si="130"/>
        <v>0</v>
      </c>
      <c r="BJ126" s="348"/>
      <c r="BK126" s="348"/>
      <c r="BL126" s="349">
        <f t="shared" si="131"/>
        <v>0</v>
      </c>
      <c r="BM126" s="349">
        <f t="shared" si="132"/>
        <v>0</v>
      </c>
    </row>
    <row r="127" spans="1:67" x14ac:dyDescent="0.25">
      <c r="A127" s="347" t="s">
        <v>129</v>
      </c>
      <c r="B127" s="354">
        <f>105</f>
        <v>105</v>
      </c>
      <c r="C127" s="348"/>
      <c r="D127" s="348"/>
      <c r="E127" s="348"/>
      <c r="F127" s="352"/>
      <c r="G127" s="348"/>
      <c r="H127" s="348"/>
      <c r="I127" s="348"/>
      <c r="J127" s="352"/>
      <c r="K127" s="348"/>
      <c r="L127" s="352"/>
      <c r="M127" s="348"/>
      <c r="N127" s="348"/>
      <c r="O127" s="348"/>
      <c r="P127" s="348"/>
      <c r="Q127" s="348"/>
      <c r="R127" s="348"/>
      <c r="S127" s="348"/>
      <c r="T127" s="348"/>
      <c r="U127" s="348"/>
      <c r="V127" s="348"/>
      <c r="W127" s="348"/>
      <c r="X127" s="348"/>
      <c r="Y127" s="348"/>
      <c r="Z127" s="348"/>
      <c r="AA127" s="348"/>
      <c r="AB127" s="354">
        <f t="shared" si="126"/>
        <v>0</v>
      </c>
      <c r="AC127" s="349">
        <f t="shared" si="126"/>
        <v>0</v>
      </c>
      <c r="AD127" s="348"/>
      <c r="AE127" s="348"/>
      <c r="AF127" s="348"/>
      <c r="AG127" s="348"/>
      <c r="AH127" s="348"/>
      <c r="AI127" s="348"/>
      <c r="AJ127" s="348"/>
      <c r="AK127" s="348"/>
      <c r="AL127" s="354">
        <f t="shared" si="127"/>
        <v>0</v>
      </c>
      <c r="AM127" s="349">
        <f t="shared" si="127"/>
        <v>0</v>
      </c>
      <c r="AN127" s="352"/>
      <c r="AO127" s="348"/>
      <c r="AP127" s="352"/>
      <c r="AQ127" s="348"/>
      <c r="AR127" s="352"/>
      <c r="AS127" s="348"/>
      <c r="AT127" s="352"/>
      <c r="AU127" s="348"/>
      <c r="AV127" s="354">
        <f t="shared" si="128"/>
        <v>0</v>
      </c>
      <c r="AW127" s="349">
        <f t="shared" si="128"/>
        <v>0</v>
      </c>
      <c r="AX127" s="348"/>
      <c r="AY127" s="348"/>
      <c r="AZ127" s="348"/>
      <c r="BA127" s="348"/>
      <c r="BB127" s="349">
        <f t="shared" si="129"/>
        <v>0</v>
      </c>
      <c r="BC127" s="349">
        <f t="shared" si="129"/>
        <v>0</v>
      </c>
      <c r="BD127" s="348"/>
      <c r="BE127" s="348"/>
      <c r="BF127" s="348"/>
      <c r="BG127" s="348"/>
      <c r="BH127" s="349">
        <f t="shared" si="130"/>
        <v>0</v>
      </c>
      <c r="BI127" s="349">
        <f t="shared" si="130"/>
        <v>0</v>
      </c>
      <c r="BJ127" s="348"/>
      <c r="BK127" s="348"/>
      <c r="BL127" s="349">
        <f t="shared" si="131"/>
        <v>105</v>
      </c>
      <c r="BM127" s="349">
        <f t="shared" si="132"/>
        <v>0</v>
      </c>
    </row>
    <row r="128" spans="1:67" x14ac:dyDescent="0.25">
      <c r="A128" s="347" t="s">
        <v>130</v>
      </c>
      <c r="B128" s="353">
        <f t="shared" ref="B128:AA128" si="159">(B126)+(B127)</f>
        <v>105</v>
      </c>
      <c r="C128" s="350">
        <f t="shared" si="159"/>
        <v>0</v>
      </c>
      <c r="D128" s="350">
        <f t="shared" si="159"/>
        <v>0</v>
      </c>
      <c r="E128" s="350">
        <f t="shared" si="159"/>
        <v>0</v>
      </c>
      <c r="F128" s="353">
        <f t="shared" si="159"/>
        <v>0</v>
      </c>
      <c r="G128" s="350">
        <f t="shared" si="159"/>
        <v>0</v>
      </c>
      <c r="H128" s="350">
        <f t="shared" si="159"/>
        <v>0</v>
      </c>
      <c r="I128" s="350">
        <f t="shared" si="159"/>
        <v>0</v>
      </c>
      <c r="J128" s="353">
        <f t="shared" si="159"/>
        <v>0</v>
      </c>
      <c r="K128" s="350">
        <f t="shared" si="159"/>
        <v>0</v>
      </c>
      <c r="L128" s="353">
        <f t="shared" ref="L128" si="160">(L126)+(L127)</f>
        <v>0</v>
      </c>
      <c r="M128" s="350">
        <f t="shared" ref="M128" si="161">(M126)+(M127)</f>
        <v>0</v>
      </c>
      <c r="N128" s="350">
        <f t="shared" si="159"/>
        <v>0</v>
      </c>
      <c r="O128" s="350">
        <f t="shared" si="159"/>
        <v>0</v>
      </c>
      <c r="P128" s="350">
        <f t="shared" si="159"/>
        <v>0</v>
      </c>
      <c r="Q128" s="350">
        <f t="shared" si="159"/>
        <v>0</v>
      </c>
      <c r="R128" s="350">
        <f t="shared" si="159"/>
        <v>0</v>
      </c>
      <c r="S128" s="350">
        <f t="shared" si="159"/>
        <v>0</v>
      </c>
      <c r="T128" s="350">
        <f t="shared" si="159"/>
        <v>0</v>
      </c>
      <c r="U128" s="350">
        <f t="shared" si="159"/>
        <v>0</v>
      </c>
      <c r="V128" s="350">
        <f t="shared" si="159"/>
        <v>0</v>
      </c>
      <c r="W128" s="350">
        <f t="shared" si="159"/>
        <v>0</v>
      </c>
      <c r="X128" s="350">
        <f t="shared" si="159"/>
        <v>0</v>
      </c>
      <c r="Y128" s="350">
        <f t="shared" si="159"/>
        <v>0</v>
      </c>
      <c r="Z128" s="350">
        <f t="shared" si="159"/>
        <v>0</v>
      </c>
      <c r="AA128" s="350">
        <f t="shared" si="159"/>
        <v>0</v>
      </c>
      <c r="AB128" s="353">
        <f t="shared" ref="AB128:AC133" si="162">((((((N128)+(P128))+(R128))+(T128))+(V128))+(X128))+(Z128)</f>
        <v>0</v>
      </c>
      <c r="AC128" s="350">
        <f t="shared" si="162"/>
        <v>0</v>
      </c>
      <c r="AD128" s="350">
        <f t="shared" ref="AD128:AK128" si="163">(AD126)+(AD127)</f>
        <v>0</v>
      </c>
      <c r="AE128" s="350">
        <f t="shared" si="163"/>
        <v>0</v>
      </c>
      <c r="AF128" s="350">
        <f t="shared" si="163"/>
        <v>0</v>
      </c>
      <c r="AG128" s="350">
        <f t="shared" si="163"/>
        <v>0</v>
      </c>
      <c r="AH128" s="350">
        <f t="shared" si="163"/>
        <v>0</v>
      </c>
      <c r="AI128" s="350">
        <f t="shared" si="163"/>
        <v>0</v>
      </c>
      <c r="AJ128" s="350">
        <f t="shared" si="163"/>
        <v>0</v>
      </c>
      <c r="AK128" s="350">
        <f t="shared" si="163"/>
        <v>0</v>
      </c>
      <c r="AL128" s="353">
        <f t="shared" ref="AL128:AM133" si="164">(((AD128)+(AF128))+(AH128))+(AJ128)</f>
        <v>0</v>
      </c>
      <c r="AM128" s="350">
        <f t="shared" si="164"/>
        <v>0</v>
      </c>
      <c r="AN128" s="353">
        <f t="shared" ref="AN128:AU128" si="165">(AN126)+(AN127)</f>
        <v>0</v>
      </c>
      <c r="AO128" s="350">
        <f t="shared" si="165"/>
        <v>0</v>
      </c>
      <c r="AP128" s="353">
        <f t="shared" si="165"/>
        <v>0</v>
      </c>
      <c r="AQ128" s="350">
        <f t="shared" si="165"/>
        <v>0</v>
      </c>
      <c r="AR128" s="353">
        <f t="shared" si="165"/>
        <v>0</v>
      </c>
      <c r="AS128" s="350">
        <f t="shared" si="165"/>
        <v>0</v>
      </c>
      <c r="AT128" s="353">
        <f t="shared" si="165"/>
        <v>0</v>
      </c>
      <c r="AU128" s="350">
        <f t="shared" si="165"/>
        <v>0</v>
      </c>
      <c r="AV128" s="353">
        <f t="shared" ref="AV128:AW133" si="166">(AR128)+(AT128)</f>
        <v>0</v>
      </c>
      <c r="AW128" s="350">
        <f t="shared" si="166"/>
        <v>0</v>
      </c>
      <c r="AX128" s="350">
        <f>(AX126)+(AX127)</f>
        <v>0</v>
      </c>
      <c r="AY128" s="350">
        <f>(AY126)+(AY127)</f>
        <v>0</v>
      </c>
      <c r="AZ128" s="350">
        <f>(AZ126)+(AZ127)</f>
        <v>0</v>
      </c>
      <c r="BA128" s="350">
        <f>(BA126)+(BA127)</f>
        <v>0</v>
      </c>
      <c r="BB128" s="350">
        <f t="shared" ref="BB128:BC133" si="167">(AX128)+(AZ128)</f>
        <v>0</v>
      </c>
      <c r="BC128" s="350">
        <f t="shared" si="167"/>
        <v>0</v>
      </c>
      <c r="BD128" s="350">
        <f>(BD126)+(BD127)</f>
        <v>0</v>
      </c>
      <c r="BE128" s="350">
        <f>(BE126)+(BE127)</f>
        <v>0</v>
      </c>
      <c r="BF128" s="350">
        <f>(BF126)+(BF127)</f>
        <v>0</v>
      </c>
      <c r="BG128" s="350">
        <f>(BG126)+(BG127)</f>
        <v>0</v>
      </c>
      <c r="BH128" s="350">
        <f t="shared" ref="BH128:BI133" si="168">(BD128)+(BF128)</f>
        <v>0</v>
      </c>
      <c r="BI128" s="350">
        <f t="shared" si="168"/>
        <v>0</v>
      </c>
      <c r="BJ128" s="350">
        <f>(BJ126)+(BJ127)</f>
        <v>0</v>
      </c>
      <c r="BK128" s="350">
        <f>(BK126)+(BK127)</f>
        <v>0</v>
      </c>
      <c r="BL128" s="350">
        <f t="shared" ref="BL128:BL133" si="169">((((((((((((B128)+(D128))+(F128))+(H128))+(J128))+(AB128))+(AL128))+(AN128))+(AP128))+(AV128))+(BB128))+(BH128))+(BJ128)</f>
        <v>105</v>
      </c>
      <c r="BM128" s="350">
        <f t="shared" ref="BM128:BM133" si="170">((((((((((((C128)+(E128))+(G128))+(I128))+(K128))+(AC128))+(AM128))+(AO128))+(AQ128))+(AW128))+(BC128))+(BI128))+(BK128)</f>
        <v>0</v>
      </c>
    </row>
    <row r="129" spans="1:65" x14ac:dyDescent="0.25">
      <c r="A129" s="347" t="s">
        <v>131</v>
      </c>
      <c r="B129" s="353">
        <f t="shared" ref="B129:AA129" si="171">(B125)+(B128)</f>
        <v>105</v>
      </c>
      <c r="C129" s="350">
        <f t="shared" si="171"/>
        <v>0</v>
      </c>
      <c r="D129" s="350">
        <f t="shared" si="171"/>
        <v>0</v>
      </c>
      <c r="E129" s="350">
        <f t="shared" si="171"/>
        <v>0</v>
      </c>
      <c r="F129" s="353">
        <f t="shared" si="171"/>
        <v>0</v>
      </c>
      <c r="G129" s="350">
        <f t="shared" si="171"/>
        <v>0</v>
      </c>
      <c r="H129" s="350">
        <f t="shared" si="171"/>
        <v>0</v>
      </c>
      <c r="I129" s="350">
        <f t="shared" si="171"/>
        <v>0</v>
      </c>
      <c r="J129" s="353">
        <f t="shared" si="171"/>
        <v>0</v>
      </c>
      <c r="K129" s="350">
        <f t="shared" si="171"/>
        <v>0</v>
      </c>
      <c r="L129" s="353">
        <f t="shared" ref="L129" si="172">(L125)+(L128)</f>
        <v>0</v>
      </c>
      <c r="M129" s="350">
        <f t="shared" ref="M129" si="173">(M125)+(M128)</f>
        <v>0</v>
      </c>
      <c r="N129" s="350">
        <f t="shared" si="171"/>
        <v>0</v>
      </c>
      <c r="O129" s="350">
        <f t="shared" si="171"/>
        <v>0</v>
      </c>
      <c r="P129" s="350">
        <f t="shared" si="171"/>
        <v>0</v>
      </c>
      <c r="Q129" s="350">
        <f t="shared" si="171"/>
        <v>0</v>
      </c>
      <c r="R129" s="350">
        <f t="shared" si="171"/>
        <v>0</v>
      </c>
      <c r="S129" s="350">
        <f t="shared" si="171"/>
        <v>0</v>
      </c>
      <c r="T129" s="350">
        <f t="shared" si="171"/>
        <v>0</v>
      </c>
      <c r="U129" s="350">
        <f t="shared" si="171"/>
        <v>0</v>
      </c>
      <c r="V129" s="350">
        <f t="shared" si="171"/>
        <v>0</v>
      </c>
      <c r="W129" s="350">
        <f t="shared" si="171"/>
        <v>0</v>
      </c>
      <c r="X129" s="350">
        <f t="shared" si="171"/>
        <v>0</v>
      </c>
      <c r="Y129" s="350">
        <f t="shared" si="171"/>
        <v>0</v>
      </c>
      <c r="Z129" s="350">
        <f t="shared" si="171"/>
        <v>0</v>
      </c>
      <c r="AA129" s="350">
        <f t="shared" si="171"/>
        <v>0</v>
      </c>
      <c r="AB129" s="353">
        <f t="shared" si="162"/>
        <v>0</v>
      </c>
      <c r="AC129" s="350">
        <f t="shared" si="162"/>
        <v>0</v>
      </c>
      <c r="AD129" s="350">
        <f t="shared" ref="AD129:AK129" si="174">(AD125)+(AD128)</f>
        <v>0</v>
      </c>
      <c r="AE129" s="350">
        <f t="shared" si="174"/>
        <v>0</v>
      </c>
      <c r="AF129" s="350">
        <f t="shared" si="174"/>
        <v>0</v>
      </c>
      <c r="AG129" s="350">
        <f t="shared" si="174"/>
        <v>0</v>
      </c>
      <c r="AH129" s="350">
        <f t="shared" si="174"/>
        <v>0</v>
      </c>
      <c r="AI129" s="350">
        <f t="shared" si="174"/>
        <v>0</v>
      </c>
      <c r="AJ129" s="350">
        <f t="shared" si="174"/>
        <v>0</v>
      </c>
      <c r="AK129" s="350">
        <f t="shared" si="174"/>
        <v>0</v>
      </c>
      <c r="AL129" s="353">
        <f t="shared" si="164"/>
        <v>0</v>
      </c>
      <c r="AM129" s="350">
        <f t="shared" si="164"/>
        <v>0</v>
      </c>
      <c r="AN129" s="353">
        <f t="shared" ref="AN129:AU129" si="175">(AN125)+(AN128)</f>
        <v>0</v>
      </c>
      <c r="AO129" s="350">
        <f t="shared" si="175"/>
        <v>0</v>
      </c>
      <c r="AP129" s="353">
        <f t="shared" si="175"/>
        <v>0</v>
      </c>
      <c r="AQ129" s="350">
        <f t="shared" si="175"/>
        <v>0</v>
      </c>
      <c r="AR129" s="353">
        <f t="shared" si="175"/>
        <v>0</v>
      </c>
      <c r="AS129" s="350">
        <f t="shared" si="175"/>
        <v>0</v>
      </c>
      <c r="AT129" s="353">
        <f t="shared" si="175"/>
        <v>0</v>
      </c>
      <c r="AU129" s="350">
        <f t="shared" si="175"/>
        <v>0</v>
      </c>
      <c r="AV129" s="353">
        <f t="shared" si="166"/>
        <v>0</v>
      </c>
      <c r="AW129" s="350">
        <f t="shared" si="166"/>
        <v>0</v>
      </c>
      <c r="AX129" s="350">
        <f>(AX125)+(AX128)</f>
        <v>0</v>
      </c>
      <c r="AY129" s="350">
        <f>(AY125)+(AY128)</f>
        <v>0</v>
      </c>
      <c r="AZ129" s="350">
        <f>(AZ125)+(AZ128)</f>
        <v>0</v>
      </c>
      <c r="BA129" s="350">
        <f>(BA125)+(BA128)</f>
        <v>0</v>
      </c>
      <c r="BB129" s="350">
        <f t="shared" si="167"/>
        <v>0</v>
      </c>
      <c r="BC129" s="350">
        <f t="shared" si="167"/>
        <v>0</v>
      </c>
      <c r="BD129" s="350">
        <f>(BD125)+(BD128)</f>
        <v>0</v>
      </c>
      <c r="BE129" s="350">
        <f>(BE125)+(BE128)</f>
        <v>0</v>
      </c>
      <c r="BF129" s="350">
        <f>(BF125)+(BF128)</f>
        <v>0</v>
      </c>
      <c r="BG129" s="350">
        <f>(BG125)+(BG128)</f>
        <v>0</v>
      </c>
      <c r="BH129" s="350">
        <f t="shared" si="168"/>
        <v>0</v>
      </c>
      <c r="BI129" s="350">
        <f t="shared" si="168"/>
        <v>0</v>
      </c>
      <c r="BJ129" s="350">
        <f>(BJ125)+(BJ128)</f>
        <v>0</v>
      </c>
      <c r="BK129" s="350">
        <f>(BK125)+(BK128)</f>
        <v>0</v>
      </c>
      <c r="BL129" s="350">
        <f t="shared" si="169"/>
        <v>105</v>
      </c>
      <c r="BM129" s="350">
        <f t="shared" si="170"/>
        <v>0</v>
      </c>
    </row>
    <row r="130" spans="1:65" x14ac:dyDescent="0.25">
      <c r="A130" s="347" t="s">
        <v>132</v>
      </c>
      <c r="B130" s="352"/>
      <c r="C130" s="348"/>
      <c r="D130" s="348"/>
      <c r="E130" s="348"/>
      <c r="F130" s="354">
        <f>795</f>
        <v>795</v>
      </c>
      <c r="G130" s="348"/>
      <c r="H130" s="348"/>
      <c r="I130" s="348"/>
      <c r="J130" s="352"/>
      <c r="K130" s="348"/>
      <c r="L130" s="352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8"/>
      <c r="X130" s="348"/>
      <c r="Y130" s="348"/>
      <c r="Z130" s="348"/>
      <c r="AA130" s="348"/>
      <c r="AB130" s="354">
        <f t="shared" si="162"/>
        <v>0</v>
      </c>
      <c r="AC130" s="349">
        <f t="shared" si="162"/>
        <v>0</v>
      </c>
      <c r="AD130" s="348"/>
      <c r="AE130" s="348"/>
      <c r="AF130" s="348"/>
      <c r="AG130" s="348"/>
      <c r="AH130" s="348"/>
      <c r="AI130" s="348"/>
      <c r="AJ130" s="348"/>
      <c r="AK130" s="348"/>
      <c r="AL130" s="354">
        <f t="shared" si="164"/>
        <v>0</v>
      </c>
      <c r="AM130" s="349">
        <f t="shared" si="164"/>
        <v>0</v>
      </c>
      <c r="AN130" s="352"/>
      <c r="AO130" s="348"/>
      <c r="AP130" s="352"/>
      <c r="AQ130" s="348"/>
      <c r="AR130" s="352"/>
      <c r="AS130" s="348"/>
      <c r="AT130" s="352"/>
      <c r="AU130" s="348"/>
      <c r="AV130" s="354">
        <f t="shared" si="166"/>
        <v>0</v>
      </c>
      <c r="AW130" s="349">
        <f t="shared" si="166"/>
        <v>0</v>
      </c>
      <c r="AX130" s="348"/>
      <c r="AY130" s="348"/>
      <c r="AZ130" s="348"/>
      <c r="BA130" s="348"/>
      <c r="BB130" s="349">
        <f t="shared" si="167"/>
        <v>0</v>
      </c>
      <c r="BC130" s="349">
        <f t="shared" si="167"/>
        <v>0</v>
      </c>
      <c r="BD130" s="348"/>
      <c r="BE130" s="348"/>
      <c r="BF130" s="348"/>
      <c r="BG130" s="348"/>
      <c r="BH130" s="349">
        <f t="shared" si="168"/>
        <v>0</v>
      </c>
      <c r="BI130" s="349">
        <f t="shared" si="168"/>
        <v>0</v>
      </c>
      <c r="BJ130" s="348"/>
      <c r="BK130" s="348"/>
      <c r="BL130" s="349">
        <f t="shared" si="169"/>
        <v>795</v>
      </c>
      <c r="BM130" s="349">
        <f t="shared" si="170"/>
        <v>0</v>
      </c>
    </row>
    <row r="131" spans="1:65" x14ac:dyDescent="0.25">
      <c r="A131" s="347" t="s">
        <v>116</v>
      </c>
      <c r="B131" s="353">
        <f t="shared" ref="B131:AA131" si="176">((((((((((((((((B52)+(B69))+(B74))+(B79))+(B84))+(B91))+(B92))+(B93))+(B98))+(B104))+(B111))+(B118))+(B119))+(B120))+(B124))+(B129))+(B130)</f>
        <v>126486.15</v>
      </c>
      <c r="C131" s="350">
        <f t="shared" si="176"/>
        <v>130297.47</v>
      </c>
      <c r="D131" s="350">
        <f t="shared" si="176"/>
        <v>236193.93999999997</v>
      </c>
      <c r="E131" s="350">
        <f t="shared" si="176"/>
        <v>251361</v>
      </c>
      <c r="F131" s="353">
        <f t="shared" si="176"/>
        <v>91314.410000000018</v>
      </c>
      <c r="G131" s="350">
        <f t="shared" si="176"/>
        <v>125750.00000000001</v>
      </c>
      <c r="H131" s="350">
        <f t="shared" si="176"/>
        <v>115246.06</v>
      </c>
      <c r="I131" s="350">
        <f t="shared" si="176"/>
        <v>0</v>
      </c>
      <c r="J131" s="353">
        <f t="shared" si="176"/>
        <v>28599.690000000002</v>
      </c>
      <c r="K131" s="350">
        <f t="shared" si="176"/>
        <v>0</v>
      </c>
      <c r="L131" s="353">
        <f t="shared" ref="L131" si="177">((((((((((((((((L52)+(L69))+(L74))+(L79))+(L84))+(L91))+(L92))+(L93))+(L98))+(L104))+(L111))+(L118))+(L119))+(L120))+(L124))+(L129))+(L130)</f>
        <v>28599.690000000002</v>
      </c>
      <c r="M131" s="350">
        <f t="shared" ref="M131" si="178">((((((((((((((((M52)+(M69))+(M74))+(M79))+(M84))+(M91))+(M92))+(M93))+(M98))+(M104))+(M111))+(M118))+(M119))+(M120))+(M124))+(M129))+(M130)</f>
        <v>0</v>
      </c>
      <c r="N131" s="350">
        <f t="shared" si="176"/>
        <v>90246.38</v>
      </c>
      <c r="O131" s="350">
        <f t="shared" si="176"/>
        <v>200000</v>
      </c>
      <c r="P131" s="350">
        <f t="shared" si="176"/>
        <v>1592.1599999999999</v>
      </c>
      <c r="Q131" s="350">
        <f t="shared" si="176"/>
        <v>0</v>
      </c>
      <c r="R131" s="350">
        <f t="shared" si="176"/>
        <v>2595.8399999999997</v>
      </c>
      <c r="S131" s="350">
        <f t="shared" si="176"/>
        <v>0</v>
      </c>
      <c r="T131" s="350">
        <f t="shared" si="176"/>
        <v>21507.23</v>
      </c>
      <c r="U131" s="350">
        <f t="shared" si="176"/>
        <v>0</v>
      </c>
      <c r="V131" s="350">
        <f t="shared" si="176"/>
        <v>31286.5</v>
      </c>
      <c r="W131" s="350">
        <f t="shared" si="176"/>
        <v>0</v>
      </c>
      <c r="X131" s="350">
        <f t="shared" si="176"/>
        <v>7915.4199999999992</v>
      </c>
      <c r="Y131" s="350">
        <f t="shared" si="176"/>
        <v>0</v>
      </c>
      <c r="Z131" s="350">
        <f t="shared" si="176"/>
        <v>18554.64</v>
      </c>
      <c r="AA131" s="350">
        <f t="shared" si="176"/>
        <v>0</v>
      </c>
      <c r="AB131" s="353">
        <f t="shared" si="162"/>
        <v>173698.16999999998</v>
      </c>
      <c r="AC131" s="350">
        <f t="shared" si="162"/>
        <v>200000</v>
      </c>
      <c r="AD131" s="350">
        <f t="shared" ref="AD131:AK131" si="179">((((((((((((((((AD52)+(AD69))+(AD74))+(AD79))+(AD84))+(AD91))+(AD92))+(AD93))+(AD98))+(AD104))+(AD111))+(AD118))+(AD119))+(AD120))+(AD124))+(AD129))+(AD130)</f>
        <v>49283.759999999995</v>
      </c>
      <c r="AE131" s="350">
        <f t="shared" si="179"/>
        <v>125000</v>
      </c>
      <c r="AF131" s="350">
        <f t="shared" si="179"/>
        <v>3471.0599999999995</v>
      </c>
      <c r="AG131" s="350">
        <f t="shared" si="179"/>
        <v>0</v>
      </c>
      <c r="AH131" s="350">
        <f t="shared" si="179"/>
        <v>24681.7</v>
      </c>
      <c r="AI131" s="350">
        <f t="shared" si="179"/>
        <v>0</v>
      </c>
      <c r="AJ131" s="350">
        <f t="shared" si="179"/>
        <v>6790.14</v>
      </c>
      <c r="AK131" s="350">
        <f t="shared" si="179"/>
        <v>0</v>
      </c>
      <c r="AL131" s="353">
        <f t="shared" si="164"/>
        <v>84226.659999999989</v>
      </c>
      <c r="AM131" s="350">
        <f t="shared" si="164"/>
        <v>125000</v>
      </c>
      <c r="AN131" s="353">
        <f t="shared" ref="AN131:AU131" si="180">((((((((((((((((AN52)+(AN69))+(AN74))+(AN79))+(AN84))+(AN91))+(AN92))+(AN93))+(AN98))+(AN104))+(AN111))+(AN118))+(AN119))+(AN120))+(AN124))+(AN129))+(AN130)</f>
        <v>59455.249999999993</v>
      </c>
      <c r="AO131" s="350">
        <f t="shared" si="180"/>
        <v>70088.63</v>
      </c>
      <c r="AP131" s="353">
        <f t="shared" si="180"/>
        <v>69334.129999999976</v>
      </c>
      <c r="AQ131" s="350">
        <f t="shared" si="180"/>
        <v>69300</v>
      </c>
      <c r="AR131" s="353">
        <f t="shared" si="180"/>
        <v>7136.4400000000005</v>
      </c>
      <c r="AS131" s="350">
        <f t="shared" si="180"/>
        <v>0</v>
      </c>
      <c r="AT131" s="353">
        <f t="shared" si="180"/>
        <v>2506.5</v>
      </c>
      <c r="AU131" s="350">
        <f t="shared" si="180"/>
        <v>0</v>
      </c>
      <c r="AV131" s="353">
        <f t="shared" si="166"/>
        <v>9642.94</v>
      </c>
      <c r="AW131" s="350">
        <f t="shared" si="166"/>
        <v>0</v>
      </c>
      <c r="AX131" s="350">
        <f>((((((((((((((((AX52)+(AX69))+(AX74))+(AX79))+(AX84))+(AX91))+(AX92))+(AX93))+(AX98))+(AX104))+(AX111))+(AX118))+(AX119))+(AX120))+(AX124))+(AX129))+(AX130)</f>
        <v>13593.59</v>
      </c>
      <c r="AY131" s="350">
        <f>((((((((((((((((AY52)+(AY69))+(AY74))+(AY79))+(AY84))+(AY91))+(AY92))+(AY93))+(AY98))+(AY104))+(AY111))+(AY118))+(AY119))+(AY120))+(AY124))+(AY129))+(AY130)</f>
        <v>0</v>
      </c>
      <c r="AZ131" s="350">
        <f>((((((((((((((((AZ52)+(AZ69))+(AZ74))+(AZ79))+(AZ84))+(AZ91))+(AZ92))+(AZ93))+(AZ98))+(AZ104))+(AZ111))+(AZ118))+(AZ119))+(AZ120))+(AZ124))+(AZ129))+(AZ130)</f>
        <v>39115.520000000004</v>
      </c>
      <c r="BA131" s="350">
        <f>((((((((((((((((BA52)+(BA69))+(BA74))+(BA79))+(BA84))+(BA91))+(BA92))+(BA93))+(BA98))+(BA104))+(BA111))+(BA118))+(BA119))+(BA120))+(BA124))+(BA129))+(BA130)</f>
        <v>40000</v>
      </c>
      <c r="BB131" s="350">
        <f t="shared" si="167"/>
        <v>52709.11</v>
      </c>
      <c r="BC131" s="350">
        <f t="shared" si="167"/>
        <v>40000</v>
      </c>
      <c r="BD131" s="350">
        <f>((((((((((((((((BD52)+(BD69))+(BD74))+(BD79))+(BD84))+(BD91))+(BD92))+(BD93))+(BD98))+(BD104))+(BD111))+(BD118))+(BD119))+(BD120))+(BD124))+(BD129))+(BD130)</f>
        <v>4720.1499999999996</v>
      </c>
      <c r="BE131" s="350">
        <f>((((((((((((((((BE52)+(BE69))+(BE74))+(BE79))+(BE84))+(BE91))+(BE92))+(BE93))+(BE98))+(BE104))+(BE111))+(BE118))+(BE119))+(BE120))+(BE124))+(BE129))+(BE130)</f>
        <v>0</v>
      </c>
      <c r="BF131" s="350">
        <f>((((((((((((((((BF52)+(BF69))+(BF74))+(BF79))+(BF84))+(BF91))+(BF92))+(BF93))+(BF98))+(BF104))+(BF111))+(BF118))+(BF119))+(BF120))+(BF124))+(BF129))+(BF130)</f>
        <v>20494.730000000003</v>
      </c>
      <c r="BG131" s="350">
        <f>((((((((((((((((BG52)+(BG69))+(BG74))+(BG79))+(BG84))+(BG91))+(BG92))+(BG93))+(BG98))+(BG104))+(BG111))+(BG118))+(BG119))+(BG120))+(BG124))+(BG129))+(BG130)</f>
        <v>0</v>
      </c>
      <c r="BH131" s="350">
        <f t="shared" si="168"/>
        <v>25214.880000000005</v>
      </c>
      <c r="BI131" s="350">
        <f t="shared" si="168"/>
        <v>0</v>
      </c>
      <c r="BJ131" s="350">
        <f>((((((((((((((((BJ52)+(BJ69))+(BJ74))+(BJ79))+(BJ84))+(BJ91))+(BJ92))+(BJ93))+(BJ98))+(BJ104))+(BJ111))+(BJ118))+(BJ119))+(BJ120))+(BJ124))+(BJ129))+(BJ130)</f>
        <v>0</v>
      </c>
      <c r="BK131" s="350">
        <f>((((((((((((((((BK52)+(BK69))+(BK74))+(BK79))+(BK84))+(BK91))+(BK92))+(BK93))+(BK98))+(BK104))+(BK111))+(BK118))+(BK119))+(BK120))+(BK124))+(BK129))+(BK130)</f>
        <v>0</v>
      </c>
      <c r="BL131" s="350">
        <f t="shared" si="169"/>
        <v>1072121.3899999999</v>
      </c>
      <c r="BM131" s="350">
        <f t="shared" si="170"/>
        <v>1011797.1</v>
      </c>
    </row>
    <row r="132" spans="1:65" x14ac:dyDescent="0.25">
      <c r="A132" s="347" t="s">
        <v>117</v>
      </c>
      <c r="B132" s="353">
        <f t="shared" ref="B132:AA132" si="181">(B30)-(B131)</f>
        <v>-43086</v>
      </c>
      <c r="C132" s="350">
        <f t="shared" si="181"/>
        <v>16539.949999999983</v>
      </c>
      <c r="D132" s="350">
        <f t="shared" si="181"/>
        <v>60485.060000000027</v>
      </c>
      <c r="E132" s="350">
        <f t="shared" si="181"/>
        <v>-1361</v>
      </c>
      <c r="F132" s="353">
        <f t="shared" si="181"/>
        <v>12225.999999999985</v>
      </c>
      <c r="G132" s="350">
        <f t="shared" si="181"/>
        <v>0</v>
      </c>
      <c r="H132" s="350">
        <f t="shared" si="181"/>
        <v>-14335.300000000003</v>
      </c>
      <c r="I132" s="350">
        <f t="shared" si="181"/>
        <v>0</v>
      </c>
      <c r="J132" s="353">
        <f t="shared" si="181"/>
        <v>-28599.690000000002</v>
      </c>
      <c r="K132" s="350">
        <f t="shared" si="181"/>
        <v>0</v>
      </c>
      <c r="L132" s="353">
        <f t="shared" ref="L132" si="182">(L30)-(L131)</f>
        <v>-28599.690000000002</v>
      </c>
      <c r="M132" s="350">
        <f t="shared" ref="M132" si="183">(M30)-(M131)</f>
        <v>0</v>
      </c>
      <c r="N132" s="350">
        <f t="shared" si="181"/>
        <v>77503.62</v>
      </c>
      <c r="O132" s="350">
        <f t="shared" si="181"/>
        <v>0</v>
      </c>
      <c r="P132" s="350">
        <f t="shared" si="181"/>
        <v>-1592.1599999999999</v>
      </c>
      <c r="Q132" s="350">
        <f t="shared" si="181"/>
        <v>0</v>
      </c>
      <c r="R132" s="350">
        <f t="shared" si="181"/>
        <v>-2595.8399999999997</v>
      </c>
      <c r="S132" s="350">
        <f t="shared" si="181"/>
        <v>0</v>
      </c>
      <c r="T132" s="350">
        <f t="shared" si="181"/>
        <v>-21507.23</v>
      </c>
      <c r="U132" s="350">
        <f t="shared" si="181"/>
        <v>0</v>
      </c>
      <c r="V132" s="350">
        <f t="shared" si="181"/>
        <v>-31286.5</v>
      </c>
      <c r="W132" s="350">
        <f t="shared" si="181"/>
        <v>0</v>
      </c>
      <c r="X132" s="350">
        <f t="shared" si="181"/>
        <v>-7915.4199999999992</v>
      </c>
      <c r="Y132" s="350">
        <f t="shared" si="181"/>
        <v>0</v>
      </c>
      <c r="Z132" s="350">
        <f t="shared" si="181"/>
        <v>-18554.64</v>
      </c>
      <c r="AA132" s="350">
        <f t="shared" si="181"/>
        <v>0</v>
      </c>
      <c r="AB132" s="353">
        <f t="shared" si="162"/>
        <v>-5948.1699999999983</v>
      </c>
      <c r="AC132" s="350">
        <f t="shared" si="162"/>
        <v>0</v>
      </c>
      <c r="AD132" s="350">
        <f t="shared" ref="AD132:AK132" si="184">(AD30)-(AD131)</f>
        <v>47466.240000000005</v>
      </c>
      <c r="AE132" s="350">
        <f t="shared" si="184"/>
        <v>0</v>
      </c>
      <c r="AF132" s="350">
        <f t="shared" si="184"/>
        <v>-3471.0599999999995</v>
      </c>
      <c r="AG132" s="350">
        <f t="shared" si="184"/>
        <v>0</v>
      </c>
      <c r="AH132" s="350">
        <f t="shared" si="184"/>
        <v>-24681.7</v>
      </c>
      <c r="AI132" s="350">
        <f t="shared" si="184"/>
        <v>0</v>
      </c>
      <c r="AJ132" s="350">
        <f t="shared" si="184"/>
        <v>-6790.14</v>
      </c>
      <c r="AK132" s="350">
        <f t="shared" si="184"/>
        <v>0</v>
      </c>
      <c r="AL132" s="353">
        <f t="shared" si="164"/>
        <v>12523.340000000007</v>
      </c>
      <c r="AM132" s="350">
        <f t="shared" si="164"/>
        <v>0</v>
      </c>
      <c r="AN132" s="353">
        <f t="shared" ref="AN132:AU132" si="185">(AN30)-(AN131)</f>
        <v>4068.4000000000087</v>
      </c>
      <c r="AO132" s="350">
        <f t="shared" si="185"/>
        <v>0</v>
      </c>
      <c r="AP132" s="353">
        <f t="shared" si="185"/>
        <v>-34.129999999975553</v>
      </c>
      <c r="AQ132" s="350">
        <f t="shared" si="185"/>
        <v>0</v>
      </c>
      <c r="AR132" s="353">
        <f t="shared" si="185"/>
        <v>-5185.7800000000007</v>
      </c>
      <c r="AS132" s="350">
        <f t="shared" si="185"/>
        <v>0</v>
      </c>
      <c r="AT132" s="353">
        <f t="shared" si="185"/>
        <v>1279.5100000000002</v>
      </c>
      <c r="AU132" s="350">
        <f t="shared" si="185"/>
        <v>0</v>
      </c>
      <c r="AV132" s="353">
        <f t="shared" si="166"/>
        <v>-3906.2700000000004</v>
      </c>
      <c r="AW132" s="350">
        <f t="shared" si="166"/>
        <v>0</v>
      </c>
      <c r="AX132" s="350">
        <f>(AX30)-(AX131)</f>
        <v>-10702.94</v>
      </c>
      <c r="AY132" s="350">
        <f>(AY30)-(AY131)</f>
        <v>0</v>
      </c>
      <c r="AZ132" s="350">
        <f>(AZ30)-(AZ131)</f>
        <v>665.91999999999825</v>
      </c>
      <c r="BA132" s="350">
        <f>(BA30)-(BA131)</f>
        <v>0</v>
      </c>
      <c r="BB132" s="350">
        <f t="shared" si="167"/>
        <v>-10037.020000000002</v>
      </c>
      <c r="BC132" s="350">
        <f t="shared" si="167"/>
        <v>0</v>
      </c>
      <c r="BD132" s="350">
        <f>(BD30)-(BD131)</f>
        <v>14475.770000000002</v>
      </c>
      <c r="BE132" s="350">
        <f>(BE30)-(BE131)</f>
        <v>0</v>
      </c>
      <c r="BF132" s="350">
        <f>(BF30)-(BF131)</f>
        <v>-20494.730000000003</v>
      </c>
      <c r="BG132" s="350">
        <f>(BG30)-(BG131)</f>
        <v>0</v>
      </c>
      <c r="BH132" s="350">
        <f t="shared" si="168"/>
        <v>-6018.9600000000009</v>
      </c>
      <c r="BI132" s="350">
        <f t="shared" si="168"/>
        <v>0</v>
      </c>
      <c r="BJ132" s="350">
        <f>(BJ30)-(BJ131)</f>
        <v>0</v>
      </c>
      <c r="BK132" s="350">
        <f>(BK30)-(BK131)</f>
        <v>0</v>
      </c>
      <c r="BL132" s="350">
        <f t="shared" si="169"/>
        <v>-22662.739999999954</v>
      </c>
      <c r="BM132" s="350">
        <f t="shared" si="170"/>
        <v>15178.949999999983</v>
      </c>
    </row>
    <row r="133" spans="1:65" x14ac:dyDescent="0.25">
      <c r="A133" s="347" t="s">
        <v>118</v>
      </c>
      <c r="B133" s="353">
        <f t="shared" ref="B133:AA133" si="186">(B132)+(0)</f>
        <v>-43086</v>
      </c>
      <c r="C133" s="350">
        <f t="shared" si="186"/>
        <v>16539.949999999983</v>
      </c>
      <c r="D133" s="350">
        <f t="shared" si="186"/>
        <v>60485.060000000027</v>
      </c>
      <c r="E133" s="350">
        <f t="shared" si="186"/>
        <v>-1361</v>
      </c>
      <c r="F133" s="353">
        <f t="shared" si="186"/>
        <v>12225.999999999985</v>
      </c>
      <c r="G133" s="350">
        <f t="shared" si="186"/>
        <v>0</v>
      </c>
      <c r="H133" s="350">
        <f t="shared" si="186"/>
        <v>-14335.300000000003</v>
      </c>
      <c r="I133" s="350">
        <f t="shared" si="186"/>
        <v>0</v>
      </c>
      <c r="J133" s="353">
        <f t="shared" si="186"/>
        <v>-28599.690000000002</v>
      </c>
      <c r="K133" s="350">
        <f t="shared" si="186"/>
        <v>0</v>
      </c>
      <c r="L133" s="353">
        <f t="shared" ref="L133" si="187">(L132)+(0)</f>
        <v>-28599.690000000002</v>
      </c>
      <c r="M133" s="350">
        <f t="shared" ref="M133" si="188">(M132)+(0)</f>
        <v>0</v>
      </c>
      <c r="N133" s="350">
        <f t="shared" si="186"/>
        <v>77503.62</v>
      </c>
      <c r="O133" s="350">
        <f t="shared" si="186"/>
        <v>0</v>
      </c>
      <c r="P133" s="350">
        <f t="shared" si="186"/>
        <v>-1592.1599999999999</v>
      </c>
      <c r="Q133" s="350">
        <f t="shared" si="186"/>
        <v>0</v>
      </c>
      <c r="R133" s="350">
        <f t="shared" si="186"/>
        <v>-2595.8399999999997</v>
      </c>
      <c r="S133" s="350">
        <f t="shared" si="186"/>
        <v>0</v>
      </c>
      <c r="T133" s="350">
        <f t="shared" si="186"/>
        <v>-21507.23</v>
      </c>
      <c r="U133" s="350">
        <f t="shared" si="186"/>
        <v>0</v>
      </c>
      <c r="V133" s="350">
        <f t="shared" si="186"/>
        <v>-31286.5</v>
      </c>
      <c r="W133" s="350">
        <f t="shared" si="186"/>
        <v>0</v>
      </c>
      <c r="X133" s="350">
        <f t="shared" si="186"/>
        <v>-7915.4199999999992</v>
      </c>
      <c r="Y133" s="350">
        <f t="shared" si="186"/>
        <v>0</v>
      </c>
      <c r="Z133" s="350">
        <f t="shared" si="186"/>
        <v>-18554.64</v>
      </c>
      <c r="AA133" s="350">
        <f t="shared" si="186"/>
        <v>0</v>
      </c>
      <c r="AB133" s="353">
        <f t="shared" si="162"/>
        <v>-5948.1699999999983</v>
      </c>
      <c r="AC133" s="350">
        <f t="shared" si="162"/>
        <v>0</v>
      </c>
      <c r="AD133" s="350">
        <f t="shared" ref="AD133:AK133" si="189">(AD132)+(0)</f>
        <v>47466.240000000005</v>
      </c>
      <c r="AE133" s="350">
        <f t="shared" si="189"/>
        <v>0</v>
      </c>
      <c r="AF133" s="350">
        <f t="shared" si="189"/>
        <v>-3471.0599999999995</v>
      </c>
      <c r="AG133" s="350">
        <f t="shared" si="189"/>
        <v>0</v>
      </c>
      <c r="AH133" s="350">
        <f t="shared" si="189"/>
        <v>-24681.7</v>
      </c>
      <c r="AI133" s="350">
        <f t="shared" si="189"/>
        <v>0</v>
      </c>
      <c r="AJ133" s="350">
        <f t="shared" si="189"/>
        <v>-6790.14</v>
      </c>
      <c r="AK133" s="350">
        <f t="shared" si="189"/>
        <v>0</v>
      </c>
      <c r="AL133" s="353">
        <f t="shared" si="164"/>
        <v>12523.340000000007</v>
      </c>
      <c r="AM133" s="350">
        <f t="shared" si="164"/>
        <v>0</v>
      </c>
      <c r="AN133" s="353">
        <f t="shared" ref="AN133:AU133" si="190">(AN132)+(0)</f>
        <v>4068.4000000000087</v>
      </c>
      <c r="AO133" s="350">
        <f t="shared" si="190"/>
        <v>0</v>
      </c>
      <c r="AP133" s="353">
        <f t="shared" si="190"/>
        <v>-34.129999999975553</v>
      </c>
      <c r="AQ133" s="350">
        <f t="shared" si="190"/>
        <v>0</v>
      </c>
      <c r="AR133" s="353">
        <f t="shared" si="190"/>
        <v>-5185.7800000000007</v>
      </c>
      <c r="AS133" s="350">
        <f t="shared" si="190"/>
        <v>0</v>
      </c>
      <c r="AT133" s="353">
        <f t="shared" si="190"/>
        <v>1279.5100000000002</v>
      </c>
      <c r="AU133" s="350">
        <f t="shared" si="190"/>
        <v>0</v>
      </c>
      <c r="AV133" s="353">
        <f t="shared" si="166"/>
        <v>-3906.2700000000004</v>
      </c>
      <c r="AW133" s="350">
        <f t="shared" si="166"/>
        <v>0</v>
      </c>
      <c r="AX133" s="350">
        <f>(AX132)+(0)</f>
        <v>-10702.94</v>
      </c>
      <c r="AY133" s="350">
        <f>(AY132)+(0)</f>
        <v>0</v>
      </c>
      <c r="AZ133" s="350">
        <f>(AZ132)+(0)</f>
        <v>665.91999999999825</v>
      </c>
      <c r="BA133" s="350">
        <f>(BA132)+(0)</f>
        <v>0</v>
      </c>
      <c r="BB133" s="350">
        <f t="shared" si="167"/>
        <v>-10037.020000000002</v>
      </c>
      <c r="BC133" s="350">
        <f t="shared" si="167"/>
        <v>0</v>
      </c>
      <c r="BD133" s="350">
        <f>(BD132)+(0)</f>
        <v>14475.770000000002</v>
      </c>
      <c r="BE133" s="350">
        <f>(BE132)+(0)</f>
        <v>0</v>
      </c>
      <c r="BF133" s="350">
        <f>(BF132)+(0)</f>
        <v>-20494.730000000003</v>
      </c>
      <c r="BG133" s="350">
        <f>(BG132)+(0)</f>
        <v>0</v>
      </c>
      <c r="BH133" s="350">
        <f t="shared" si="168"/>
        <v>-6018.9600000000009</v>
      </c>
      <c r="BI133" s="350">
        <f t="shared" si="168"/>
        <v>0</v>
      </c>
      <c r="BJ133" s="350">
        <f>(BJ132)+(0)</f>
        <v>0</v>
      </c>
      <c r="BK133" s="350">
        <f>(BK132)+(0)</f>
        <v>0</v>
      </c>
      <c r="BL133" s="350">
        <f t="shared" si="169"/>
        <v>-22662.739999999954</v>
      </c>
      <c r="BM133" s="350">
        <f t="shared" si="170"/>
        <v>15178.949999999983</v>
      </c>
    </row>
    <row r="134" spans="1:65" x14ac:dyDescent="0.25">
      <c r="A134" s="347"/>
      <c r="B134" s="352"/>
      <c r="C134" s="348"/>
      <c r="D134" s="348"/>
      <c r="E134" s="348"/>
      <c r="F134" s="352"/>
      <c r="G134" s="348"/>
      <c r="H134" s="348"/>
      <c r="I134" s="348"/>
      <c r="J134" s="352"/>
      <c r="K134" s="348"/>
      <c r="L134" s="352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52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52"/>
      <c r="AM134" s="348"/>
      <c r="AN134" s="352"/>
      <c r="AO134" s="348"/>
      <c r="AP134" s="352"/>
      <c r="AQ134" s="348"/>
      <c r="AR134" s="352"/>
      <c r="AS134" s="348"/>
      <c r="AT134" s="352"/>
      <c r="AU134" s="348"/>
      <c r="AV134" s="352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  <c r="BJ134" s="348"/>
      <c r="BK134" s="348"/>
      <c r="BL134" s="348"/>
      <c r="BM134" s="348"/>
    </row>
    <row r="137" spans="1:65" x14ac:dyDescent="0.25">
      <c r="A137" s="711" t="s">
        <v>739</v>
      </c>
      <c r="B137" s="707"/>
      <c r="C137" s="707"/>
      <c r="D137" s="707"/>
      <c r="E137" s="707"/>
      <c r="F137" s="707"/>
      <c r="G137" s="707"/>
      <c r="H137" s="707"/>
      <c r="I137" s="707"/>
      <c r="J137" s="707"/>
      <c r="K137" s="707"/>
      <c r="L137" s="707"/>
      <c r="M137" s="707"/>
      <c r="N137" s="707"/>
      <c r="O137" s="707"/>
      <c r="P137" s="707"/>
      <c r="Q137" s="707"/>
      <c r="R137" s="707"/>
      <c r="S137" s="707"/>
      <c r="T137" s="707"/>
      <c r="U137" s="707"/>
      <c r="V137" s="707"/>
      <c r="W137" s="707"/>
      <c r="X137" s="707"/>
      <c r="Y137" s="707"/>
      <c r="Z137" s="707"/>
      <c r="AA137" s="707"/>
      <c r="AB137" s="707"/>
      <c r="AC137" s="707"/>
      <c r="AD137" s="707"/>
      <c r="AE137" s="707"/>
      <c r="AF137" s="707"/>
      <c r="AG137" s="707"/>
      <c r="AH137" s="707"/>
      <c r="AI137" s="707"/>
      <c r="AJ137" s="707"/>
      <c r="AK137" s="707"/>
      <c r="AL137" s="707"/>
      <c r="AM137" s="707"/>
      <c r="AN137" s="707"/>
      <c r="AO137" s="707"/>
      <c r="AP137" s="707"/>
      <c r="AQ137" s="707"/>
      <c r="AR137" s="707"/>
      <c r="AS137" s="707"/>
      <c r="AT137" s="707"/>
      <c r="AU137" s="707"/>
      <c r="AV137" s="707"/>
      <c r="AW137" s="707"/>
      <c r="AX137" s="707"/>
      <c r="AY137" s="707"/>
      <c r="AZ137" s="707"/>
      <c r="BA137" s="707"/>
      <c r="BB137" s="707"/>
      <c r="BC137" s="707"/>
      <c r="BD137" s="707"/>
      <c r="BE137" s="707"/>
      <c r="BF137" s="707"/>
      <c r="BG137" s="707"/>
      <c r="BH137" s="707"/>
      <c r="BI137" s="707"/>
      <c r="BJ137" s="707"/>
      <c r="BK137" s="707"/>
      <c r="BL137" s="707"/>
      <c r="BM137" s="707"/>
    </row>
  </sheetData>
  <mergeCells count="36">
    <mergeCell ref="AN5:AO5"/>
    <mergeCell ref="V5:W5"/>
    <mergeCell ref="X5:Y5"/>
    <mergeCell ref="AP5:AQ5"/>
    <mergeCell ref="A137:BM137"/>
    <mergeCell ref="L5:M5"/>
    <mergeCell ref="AV5:AW5"/>
    <mergeCell ref="AX5:AY5"/>
    <mergeCell ref="AZ5:BA5"/>
    <mergeCell ref="BB5:BC5"/>
    <mergeCell ref="BD5:BE5"/>
    <mergeCell ref="BF5:BG5"/>
    <mergeCell ref="AB5:AC5"/>
    <mergeCell ref="AD5:AE5"/>
    <mergeCell ref="AF5:AG5"/>
    <mergeCell ref="AH5:AI5"/>
    <mergeCell ref="T5:U5"/>
    <mergeCell ref="AJ5:AK5"/>
    <mergeCell ref="AL5:AM5"/>
    <mergeCell ref="Z5:AA5"/>
    <mergeCell ref="A1:BM1"/>
    <mergeCell ref="A2:BM2"/>
    <mergeCell ref="A3:BM3"/>
    <mergeCell ref="B5:C5"/>
    <mergeCell ref="D5:E5"/>
    <mergeCell ref="F5:G5"/>
    <mergeCell ref="H5:I5"/>
    <mergeCell ref="J5:K5"/>
    <mergeCell ref="N5:O5"/>
    <mergeCell ref="BH5:BI5"/>
    <mergeCell ref="BJ5:BK5"/>
    <mergeCell ref="BL5:BM5"/>
    <mergeCell ref="P5:Q5"/>
    <mergeCell ref="AR5:AS5"/>
    <mergeCell ref="AT5:AU5"/>
    <mergeCell ref="R5:S5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d0c7ab-f3e8-4a01-82f8-cd86a498f009">
      <Terms xmlns="http://schemas.microsoft.com/office/infopath/2007/PartnerControls"/>
    </lcf76f155ced4ddcb4097134ff3c332f>
    <TaxCatchAll xmlns="fc68e082-ed57-418c-8467-774ebbdb1b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9E7C3F101B33429DEA7AB7F0CB8F9E" ma:contentTypeVersion="16" ma:contentTypeDescription="Create a new document." ma:contentTypeScope="" ma:versionID="6ac623572bbb596d1e79a4c546324390">
  <xsd:schema xmlns:xsd="http://www.w3.org/2001/XMLSchema" xmlns:xs="http://www.w3.org/2001/XMLSchema" xmlns:p="http://schemas.microsoft.com/office/2006/metadata/properties" xmlns:ns2="06d0c7ab-f3e8-4a01-82f8-cd86a498f009" xmlns:ns3="fc68e082-ed57-418c-8467-774ebbdb1bfe" targetNamespace="http://schemas.microsoft.com/office/2006/metadata/properties" ma:root="true" ma:fieldsID="fbd4dd3106ed0157ae635fa5c9e85b2b" ns2:_="" ns3:_="">
    <xsd:import namespace="06d0c7ab-f3e8-4a01-82f8-cd86a498f009"/>
    <xsd:import namespace="fc68e082-ed57-418c-8467-774ebbdb1b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0c7ab-f3e8-4a01-82f8-cd86a498f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b649e5e-69fe-4769-b181-20af8a195b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8e082-ed57-418c-8467-774ebbdb1bf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7d96-add9-4a11-9445-ca2aae453b44}" ma:internalName="TaxCatchAll" ma:showField="CatchAllData" ma:web="fc68e082-ed57-418c-8467-774ebbdb1b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B7A142-E5D9-45F0-8145-C16CB0453E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63DFD5-8ABC-49BD-A770-C7C1969B489A}">
  <ds:schemaRefs>
    <ds:schemaRef ds:uri="http://schemas.microsoft.com/office/2006/metadata/properties"/>
    <ds:schemaRef ds:uri="http://schemas.microsoft.com/office/infopath/2007/PartnerControls"/>
    <ds:schemaRef ds:uri="06d0c7ab-f3e8-4a01-82f8-cd86a498f009"/>
    <ds:schemaRef ds:uri="fc68e082-ed57-418c-8467-774ebbdb1bfe"/>
  </ds:schemaRefs>
</ds:datastoreItem>
</file>

<file path=customXml/itemProps3.xml><?xml version="1.0" encoding="utf-8"?>
<ds:datastoreItem xmlns:ds="http://schemas.openxmlformats.org/officeDocument/2006/customXml" ds:itemID="{E9219E91-FE46-4D0C-BB44-6A87448C8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0c7ab-f3e8-4a01-82f8-cd86a498f009"/>
    <ds:schemaRef ds:uri="fc68e082-ed57-418c-8467-774ebbdb1b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Budget Overview</vt:lpstr>
      <vt:lpstr>2022 Ref</vt:lpstr>
      <vt:lpstr>Admin Gen</vt:lpstr>
      <vt:lpstr>BSF Award</vt:lpstr>
      <vt:lpstr>BSF Initial</vt:lpstr>
      <vt:lpstr>DFC</vt:lpstr>
      <vt:lpstr>BRAVE</vt:lpstr>
      <vt:lpstr>CP</vt:lpstr>
      <vt:lpstr>OA</vt:lpstr>
      <vt:lpstr>HWC</vt:lpstr>
      <vt:lpstr>INCARES</vt:lpstr>
      <vt:lpstr>MM</vt:lpstr>
      <vt:lpstr>SSNEI</vt:lpstr>
      <vt:lpstr>YTD 2022</vt:lpstr>
      <vt:lpstr>'Budget Overview'!Print_Area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MaryClare Clark</cp:lastModifiedBy>
  <cp:revision/>
  <cp:lastPrinted>2022-12-15T19:20:45Z</cp:lastPrinted>
  <dcterms:created xsi:type="dcterms:W3CDTF">2022-11-23T22:35:24Z</dcterms:created>
  <dcterms:modified xsi:type="dcterms:W3CDTF">2023-02-23T18:36:43Z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0x010100839E7C3F101B33429DEA7AB7F0CB8F9E</vt:lpwstr>
  </property>
  <property fmtid="{D5CDD505-2E9C-101B-9397-08002B2CF9AE}" pid="3" name="MediaServiceImageTags">
    <vt:lpwstr/>
  </property>
</Properties>
</file>